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educationgovuk.sharepoint.com/sites/WraparoundHAFandBreakfastClubs/Shared Documents/General/Breakfast Clubs/Breakfast Club Delivery/NRO delivery/3. Induction docs/FINAL DOCS/"/>
    </mc:Choice>
  </mc:AlternateContent>
  <xr:revisionPtr revIDLastSave="7" documentId="8_{7FD775CC-017B-4BF3-AA8A-63A22E5410B7}" xr6:coauthVersionLast="47" xr6:coauthVersionMax="47" xr10:uidLastSave="{E98CD41E-5D5C-40FF-8024-2768740205A5}"/>
  <workbookProtection workbookAlgorithmName="SHA-512" workbookHashValue="SKC14d/86zBFe6fMjbb7IoU10hRg//9ENC0X7SRP5bYLikLXfYEj0abtgid/Tal7L8EaAEnKPbkqX5iFdTGJNg==" workbookSaltValue="PF0EFgJ0n4BW+rYuyCWukg==" workbookSpinCount="100000" lockStructure="1"/>
  <bookViews>
    <workbookView xWindow="-8780" yWindow="-21710" windowWidth="38620" windowHeight="21100" activeTab="1" xr2:uid="{21A35237-135D-492C-B28E-430BD0B93AD3}"/>
  </bookViews>
  <sheets>
    <sheet name="Notes" sheetId="11" r:id="rId1"/>
    <sheet name="mainstream overview" sheetId="1" r:id="rId2"/>
    <sheet name="mainstream termly breakdown" sheetId="8" r:id="rId3"/>
    <sheet name="special &amp; AP overview" sheetId="9" r:id="rId4"/>
    <sheet name="special &amp; AP termly breakdown" sheetId="10" r:id="rId5"/>
    <sheet name="lookups (to be hidden)" sheetId="2" state="hidden" r:id="rId6"/>
  </sheets>
  <definedNames>
    <definedName name="_xlnm._FilterDatabase" localSheetId="5">'lookups (to be hidden)'!$A$4:$D$160</definedName>
    <definedName name="aca_table">'lookups (to be hidden)'!$A$4:$D$160</definedName>
    <definedName name="aca_value">'mainstream overview'!$B$8</definedName>
    <definedName name="aca_value_special_ap">'special &amp; AP termly breakdown'!$B$8</definedName>
    <definedName name="annual_length">'lookups (to be hidden)'!$H$16</definedName>
    <definedName name="autumn_term_length">'lookups (to be hidden)'!$H$14</definedName>
    <definedName name="day_rate">'lookups (to be hidden)'!$H$33</definedName>
    <definedName name="ea_or_new">'lookups (to be hidden)'!$G$5:$G$6</definedName>
    <definedName name="ea_or_new_selection">'mainstream overview'!#REF!</definedName>
    <definedName name="initial_set_up_cost">'lookups (to be hidden)'!$H$39</definedName>
    <definedName name="la_selection">'mainstream overview'!$B$7</definedName>
    <definedName name="local_authorities">'lookups (to be hidden)'!$A$5:$A$160</definedName>
    <definedName name="mainstream_ea_or_new_selection">'mainstream overview'!$B$9</definedName>
    <definedName name="num_of_pupils">'mainstream overview'!$B$6</definedName>
    <definedName name="num_of_pupils_special_ap">'special &amp; AP overview'!$B$6</definedName>
    <definedName name="pup_per_day">'lookups (to be hidden)'!$H$32</definedName>
    <definedName name="school_type">'lookups (to be hidden)'!$G$9:$G$10</definedName>
    <definedName name="school_type_selection">'mainstream overview'!$B$5</definedName>
    <definedName name="school_type_selection_special_ap">'special &amp; AP termly breakdown'!$B$5</definedName>
    <definedName name="special_ap_day_rate">'lookups (to be hidden)'!$H$35</definedName>
    <definedName name="special_ap_ea_or_new_selection">'special &amp; AP overview'!$B$9</definedName>
    <definedName name="special_ap_la_selection">'special &amp; AP overview'!$B$7</definedName>
    <definedName name="special_ap_pup_per_day">'lookups (to be hidden)'!$H$34</definedName>
    <definedName name="spring_term_length">'lookups (to be hidden)'!$H$15</definedName>
    <definedName name="start_up_payment">'lookups (to be hidden)'!$H$36</definedName>
    <definedName name="summer_term_length">'lookups (to be hidden)'!$H$13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 l="1"/>
  <c r="B7" i="10"/>
  <c r="B9" i="10"/>
  <c r="B6" i="8"/>
  <c r="B7" i="8"/>
  <c r="B9" i="8"/>
  <c r="B8" i="1"/>
  <c r="L22" i="10"/>
  <c r="L21" i="10"/>
  <c r="L20" i="10"/>
  <c r="L19" i="10"/>
  <c r="L18" i="10"/>
  <c r="L22" i="8"/>
  <c r="G22" i="8" s="1"/>
  <c r="L21" i="8"/>
  <c r="G21" i="8" s="1"/>
  <c r="L20" i="8"/>
  <c r="G20" i="8" s="1"/>
  <c r="L19" i="8"/>
  <c r="G19" i="8" s="1"/>
  <c r="L18" i="8"/>
  <c r="G18" i="8" s="1"/>
  <c r="G20" i="10" l="1"/>
  <c r="G21" i="10"/>
  <c r="G22" i="10"/>
  <c r="G19" i="10"/>
  <c r="G18" i="10"/>
  <c r="I25" i="2" l="1"/>
  <c r="A25" i="1" s="1"/>
  <c r="J26" i="2"/>
  <c r="A19" i="10" s="1"/>
  <c r="A26" i="9"/>
  <c r="J27" i="2"/>
  <c r="A27" i="9" s="1"/>
  <c r="J28" i="2"/>
  <c r="A28" i="9"/>
  <c r="J29" i="2"/>
  <c r="A22" i="10" s="1"/>
  <c r="A29" i="9"/>
  <c r="J25" i="2"/>
  <c r="A25" i="9" s="1"/>
  <c r="B6" i="10"/>
  <c r="B5" i="10"/>
  <c r="R16" i="10"/>
  <c r="N16" i="10"/>
  <c r="I16" i="10"/>
  <c r="D16" i="10"/>
  <c r="B8" i="10"/>
  <c r="B5" i="8"/>
  <c r="I16" i="8"/>
  <c r="N16" i="8"/>
  <c r="R16" i="8"/>
  <c r="D16" i="8"/>
  <c r="I26" i="2"/>
  <c r="I27" i="2"/>
  <c r="A27" i="1" s="1"/>
  <c r="I28" i="2"/>
  <c r="A28" i="1" s="1"/>
  <c r="I29" i="2"/>
  <c r="A29" i="1" s="1"/>
  <c r="H16" i="2"/>
  <c r="S19" i="8"/>
  <c r="A20" i="10" l="1"/>
  <c r="J20" i="8"/>
  <c r="S18" i="8"/>
  <c r="O20" i="8"/>
  <c r="S21" i="8"/>
  <c r="O21" i="8"/>
  <c r="O18" i="8"/>
  <c r="J19" i="8"/>
  <c r="T18" i="10"/>
  <c r="S22" i="8"/>
  <c r="J21" i="8"/>
  <c r="O22" i="8"/>
  <c r="J18" i="8"/>
  <c r="B8" i="8"/>
  <c r="T21" i="8"/>
  <c r="K18" i="8"/>
  <c r="T18" i="8"/>
  <c r="P18" i="8"/>
  <c r="A18" i="8"/>
  <c r="P21" i="10"/>
  <c r="O21" i="10"/>
  <c r="O22" i="10"/>
  <c r="K20" i="10"/>
  <c r="S20" i="10"/>
  <c r="S21" i="10"/>
  <c r="P20" i="10"/>
  <c r="S19" i="10"/>
  <c r="O18" i="10"/>
  <c r="S22" i="10"/>
  <c r="K18" i="10"/>
  <c r="A21" i="10"/>
  <c r="P22" i="10"/>
  <c r="K21" i="10"/>
  <c r="K22" i="10"/>
  <c r="T19" i="10"/>
  <c r="A18" i="10"/>
  <c r="J19" i="10"/>
  <c r="P18" i="10"/>
  <c r="O20" i="10"/>
  <c r="T20" i="10"/>
  <c r="P19" i="10"/>
  <c r="O19" i="10"/>
  <c r="S18" i="10"/>
  <c r="J22" i="8"/>
  <c r="J21" i="10"/>
  <c r="J18" i="10"/>
  <c r="E18" i="10" s="1"/>
  <c r="O19" i="8"/>
  <c r="T21" i="10"/>
  <c r="J22" i="10"/>
  <c r="S20" i="8"/>
  <c r="K19" i="10"/>
  <c r="J20" i="10"/>
  <c r="T19" i="8"/>
  <c r="R19" i="8" s="1"/>
  <c r="T22" i="10"/>
  <c r="P19" i="8"/>
  <c r="K20" i="8"/>
  <c r="P20" i="8"/>
  <c r="T20" i="8"/>
  <c r="A20" i="8"/>
  <c r="P22" i="8"/>
  <c r="K21" i="8"/>
  <c r="K22" i="8"/>
  <c r="A22" i="8"/>
  <c r="T22" i="8"/>
  <c r="P21" i="8"/>
  <c r="A21" i="8"/>
  <c r="K19" i="8"/>
  <c r="A19" i="8"/>
  <c r="A26" i="1"/>
  <c r="R22" i="8" l="1"/>
  <c r="E21" i="8"/>
  <c r="E22" i="8"/>
  <c r="E19" i="8"/>
  <c r="E20" i="8"/>
  <c r="N18" i="8"/>
  <c r="R18" i="8"/>
  <c r="R21" i="8"/>
  <c r="E18" i="8"/>
  <c r="I21" i="8"/>
  <c r="F21" i="8"/>
  <c r="F18" i="8"/>
  <c r="I18" i="8"/>
  <c r="I22" i="8"/>
  <c r="F22" i="8"/>
  <c r="I19" i="8"/>
  <c r="F19" i="8"/>
  <c r="D19" i="8" s="1"/>
  <c r="F20" i="8"/>
  <c r="D20" i="8" s="1"/>
  <c r="I20" i="8"/>
  <c r="B14" i="1" s="1"/>
  <c r="F21" i="10"/>
  <c r="F18" i="10"/>
  <c r="D18" i="10" s="1"/>
  <c r="C25" i="9" s="1"/>
  <c r="F19" i="10"/>
  <c r="F22" i="10"/>
  <c r="F20" i="10"/>
  <c r="E19" i="10"/>
  <c r="I19" i="10"/>
  <c r="E22" i="10"/>
  <c r="I22" i="10"/>
  <c r="E21" i="10"/>
  <c r="I21" i="10"/>
  <c r="I18" i="10"/>
  <c r="E20" i="10"/>
  <c r="I20" i="10"/>
  <c r="B14" i="9" s="1"/>
  <c r="N20" i="8"/>
  <c r="B15" i="1" s="1"/>
  <c r="N21" i="8"/>
  <c r="N22" i="8"/>
  <c r="R18" i="10"/>
  <c r="R21" i="10"/>
  <c r="N21" i="10"/>
  <c r="R19" i="10"/>
  <c r="N18" i="10"/>
  <c r="N19" i="10"/>
  <c r="R20" i="10"/>
  <c r="B16" i="9" s="1"/>
  <c r="N22" i="10"/>
  <c r="R22" i="10"/>
  <c r="N20" i="10"/>
  <c r="B15" i="9" s="1"/>
  <c r="R20" i="8"/>
  <c r="B16" i="1" s="1"/>
  <c r="N19" i="8"/>
  <c r="D21" i="8" l="1"/>
  <c r="C28" i="1" s="1"/>
  <c r="D18" i="8"/>
  <c r="C25" i="1" s="1"/>
  <c r="D21" i="10"/>
  <c r="C28" i="9" s="1"/>
  <c r="D22" i="10"/>
  <c r="C29" i="9" s="1"/>
  <c r="D20" i="10"/>
  <c r="C27" i="9" s="1"/>
  <c r="D19" i="10"/>
  <c r="C26" i="9" s="1"/>
  <c r="D22" i="8"/>
  <c r="C29" i="1" s="1"/>
  <c r="C26" i="1"/>
  <c r="B13" i="1"/>
  <c r="C27" i="1" l="1"/>
  <c r="B13" i="9"/>
</calcChain>
</file>

<file path=xl/sharedStrings.xml><?xml version="1.0" encoding="utf-8"?>
<sst xmlns="http://schemas.openxmlformats.org/spreadsheetml/2006/main" count="295" uniqueCount="230">
  <si>
    <t>Title</t>
  </si>
  <si>
    <t xml:space="preserve">Free breakfast clubs ready reckoner from April 2026 </t>
  </si>
  <si>
    <t>Overview</t>
  </si>
  <si>
    <r>
      <t xml:space="preserve">This is a tool to help you </t>
    </r>
    <r>
      <rPr>
        <b/>
        <sz val="11"/>
        <color theme="1"/>
        <rFont val="Aptos Narrow"/>
        <family val="2"/>
        <scheme val="minor"/>
      </rPr>
      <t>estimate</t>
    </r>
    <r>
      <rPr>
        <sz val="11"/>
        <color theme="1"/>
        <rFont val="Aptos Narrow"/>
        <family val="2"/>
        <scheme val="minor"/>
      </rPr>
      <t xml:space="preserve"> the funding your school will receive through the free breakfast clubs programme. The rates are effective from April 2026. </t>
    </r>
  </si>
  <si>
    <t>How to use:</t>
  </si>
  <si>
    <r>
      <rPr>
        <b/>
        <sz val="11"/>
        <color rgb="FF000000"/>
        <rFont val="Aptos Narrow"/>
        <family val="2"/>
      </rPr>
      <t>Mainstream Schools</t>
    </r>
    <r>
      <rPr>
        <sz val="11"/>
        <color rgb="FF000000"/>
        <rFont val="Aptos Narrow"/>
        <family val="2"/>
      </rPr>
      <t xml:space="preserve"> should select the 'mainstream overview' tab to enter their school details
</t>
    </r>
    <r>
      <rPr>
        <b/>
        <sz val="11"/>
        <color rgb="FF000000"/>
        <rFont val="Aptos Narrow"/>
        <family val="2"/>
      </rPr>
      <t>Special and AP schools</t>
    </r>
    <r>
      <rPr>
        <sz val="11"/>
        <color rgb="FF000000"/>
        <rFont val="Aptos Narrow"/>
        <family val="2"/>
      </rPr>
      <t xml:space="preserve"> should select the 'special &amp; AP overview' tab to enter their school details.
On the </t>
    </r>
    <r>
      <rPr>
        <b/>
        <sz val="11"/>
        <color rgb="FF000000"/>
        <rFont val="Aptos Narrow"/>
        <family val="2"/>
      </rPr>
      <t>overview tabs</t>
    </r>
    <r>
      <rPr>
        <sz val="11"/>
        <color rgb="FF000000"/>
        <rFont val="Aptos Narrow"/>
        <family val="2"/>
      </rPr>
      <t xml:space="preserve">, enter the following details:
1. The estimated likely number of  reception to year 6 pupils who will attend your free breakfast club.
2. The local authority in which your school is located.
3. Whether you are a new school set to join in April 2026 or an early adopter school.
The ready reckoner will then estimate the funding the school will recieve based on the details provided.
The </t>
    </r>
    <r>
      <rPr>
        <b/>
        <sz val="11"/>
        <color rgb="FF000000"/>
        <rFont val="Aptos Narrow"/>
        <family val="2"/>
      </rPr>
      <t>overview tab</t>
    </r>
    <r>
      <rPr>
        <sz val="11"/>
        <color rgb="FF000000"/>
        <rFont val="Aptos Narrow"/>
        <family val="2"/>
      </rPr>
      <t xml:space="preserve"> gives a high level look at the funding amounts received each term and the annual total. It also provides details on scenarios where more or fewer pupils attend the free breakfast club on average.
The</t>
    </r>
    <r>
      <rPr>
        <b/>
        <sz val="11"/>
        <color rgb="FF000000"/>
        <rFont val="Aptos Narrow"/>
        <family val="2"/>
      </rPr>
      <t xml:space="preserve"> termly breakdown</t>
    </r>
    <r>
      <rPr>
        <sz val="11"/>
        <color rgb="FF000000"/>
        <rFont val="Aptos Narrow"/>
        <family val="2"/>
      </rPr>
      <t xml:space="preserve"> tab gives a more detailed understanding of how the funding is estimated, providing breakdowns on a term by term basis.</t>
    </r>
  </si>
  <si>
    <t>Disclaimers/What this is not</t>
  </si>
  <si>
    <r>
      <t xml:space="preserve">This tool is meant to help you estimate the amount of funding your school is likely to receive from the free breakfast club programme; </t>
    </r>
    <r>
      <rPr>
        <b/>
        <sz val="11"/>
        <color rgb="FFFF0000"/>
        <rFont val="Aptos Narrow"/>
        <family val="2"/>
        <scheme val="minor"/>
      </rPr>
      <t>actual allocations will vary</t>
    </r>
    <r>
      <rPr>
        <sz val="11"/>
        <color theme="1"/>
        <rFont val="Aptos Narrow"/>
        <family val="2"/>
        <scheme val="minor"/>
      </rPr>
      <t xml:space="preserve"> due to rounding and actual breakfast club attendance.</t>
    </r>
  </si>
  <si>
    <t>Further information can be found at:</t>
  </si>
  <si>
    <t xml:space="preserve">Free breakfast clubs funding methodology
</t>
  </si>
  <si>
    <t>Free brekafast clubs conditions of the grant</t>
  </si>
  <si>
    <t>Sources</t>
  </si>
  <si>
    <t>ACA</t>
  </si>
  <si>
    <t>Area cost adjustment for national funding formula 2025 to 2026: technical note</t>
  </si>
  <si>
    <t xml:space="preserve">Mainstream School Free Breakfast Clubs Ready Reckoner  </t>
  </si>
  <si>
    <t>User Inputs</t>
  </si>
  <si>
    <t>School Type</t>
  </si>
  <si>
    <t>Mainstream</t>
  </si>
  <si>
    <t>Estimated free breakfast club attendance</t>
  </si>
  <si>
    <t>&lt;&lt;- Please enter an estimate of the average number of eligible pupils attending the free breakfast club.</t>
  </si>
  <si>
    <t>Local Authority (enter name)</t>
  </si>
  <si>
    <t>&lt;&lt;- Please specify the local authority in which your school is located.</t>
  </si>
  <si>
    <t>Area Cost Adjustment (ACA)</t>
  </si>
  <si>
    <t>When did you join the scheme?</t>
  </si>
  <si>
    <t>&lt;&lt;- Please specify whether you are an early adopter or are joining the scheme in April 2026</t>
  </si>
  <si>
    <t>Funding Estimates</t>
  </si>
  <si>
    <t>Annual Funding Estimate</t>
  </si>
  <si>
    <t xml:space="preserve">Total for term 1 </t>
  </si>
  <si>
    <t xml:space="preserve">Total for term 2 </t>
  </si>
  <si>
    <t xml:space="preserve">Total for term 3 </t>
  </si>
  <si>
    <t>How Attendance Affects Your Funding</t>
  </si>
  <si>
    <t>To support your planning, here are some examples of the funding you might receive depending on whether fewer or more children attend.</t>
  </si>
  <si>
    <t>Example</t>
  </si>
  <si>
    <t>Annual Total</t>
  </si>
  <si>
    <t>&lt;&lt;- Update on mainstream overview tab</t>
  </si>
  <si>
    <t>Termly Breakdown</t>
  </si>
  <si>
    <t>Below is a breakdown by term showing how funding is calculated based on both daily payments and attendance-based payments. To support your planning, we’ve included example scenarios to illustrate how funding may vary depending on the number of pupils attending.</t>
  </si>
  <si>
    <t xml:space="preserve">Total </t>
  </si>
  <si>
    <t>Daily payment
(£25 x X days)</t>
  </si>
  <si>
    <t>Attendance based payment
(£1 per pupil x days)</t>
  </si>
  <si>
    <t>Initial Set Up Cost</t>
  </si>
  <si>
    <t>Special and AP School Free Breakfast Clubs Ready Reckoner</t>
  </si>
  <si>
    <t>Toggle for school type</t>
  </si>
  <si>
    <t>Special or AP</t>
  </si>
  <si>
    <t>Estimated number of pupils attending daily</t>
  </si>
  <si>
    <t xml:space="preserve">LA drop down </t>
  </si>
  <si>
    <t>Examples</t>
  </si>
  <si>
    <t>&lt;&lt;- Update on special &amp; AP overview tab</t>
  </si>
  <si>
    <t>ACA Data</t>
  </si>
  <si>
    <t xml:space="preserve">ACA Source: </t>
  </si>
  <si>
    <t>la_name</t>
  </si>
  <si>
    <t>la_code</t>
  </si>
  <si>
    <t>ea_or_new</t>
  </si>
  <si>
    <t xml:space="preserve">Barking and Dagenham </t>
  </si>
  <si>
    <t>I am an Early Adopter</t>
  </si>
  <si>
    <t xml:space="preserve">Barnet </t>
  </si>
  <si>
    <t>I am joining in April 2026</t>
  </si>
  <si>
    <t xml:space="preserve">Barnsley </t>
  </si>
  <si>
    <t>Bath and North East Somerset</t>
  </si>
  <si>
    <t>school_type</t>
  </si>
  <si>
    <t xml:space="preserve">Bedford </t>
  </si>
  <si>
    <t xml:space="preserve">Bexley </t>
  </si>
  <si>
    <t xml:space="preserve">Birmingham </t>
  </si>
  <si>
    <t xml:space="preserve">Blackburn with Darwen </t>
  </si>
  <si>
    <t>period lengths</t>
  </si>
  <si>
    <t xml:space="preserve">Blackpool </t>
  </si>
  <si>
    <t>summer term length</t>
  </si>
  <si>
    <t xml:space="preserve">Bolton </t>
  </si>
  <si>
    <t>autumn term length</t>
  </si>
  <si>
    <t xml:space="preserve">Bournemouth, Christchurch and Poole </t>
  </si>
  <si>
    <t>spring term length</t>
  </si>
  <si>
    <t xml:space="preserve">Bracknell Forest </t>
  </si>
  <si>
    <t>annual length</t>
  </si>
  <si>
    <t xml:space="preserve">Bradford </t>
  </si>
  <si>
    <t xml:space="preserve">Brent </t>
  </si>
  <si>
    <t>Additional Pupils Row 1</t>
  </si>
  <si>
    <t xml:space="preserve">Brighton and Hove </t>
  </si>
  <si>
    <t>Additional Pupils Row 2</t>
  </si>
  <si>
    <t xml:space="preserve">Bristol, City of </t>
  </si>
  <si>
    <t>Additional Pupils Row 3</t>
  </si>
  <si>
    <t xml:space="preserve">Bromley </t>
  </si>
  <si>
    <t>Additional Pupils Row 4</t>
  </si>
  <si>
    <t xml:space="preserve">Buckinghamshire Fringe </t>
  </si>
  <si>
    <t>Additional Pupils Row 5</t>
  </si>
  <si>
    <r>
      <t>Buckinghamshire non-Fringe</t>
    </r>
    <r>
      <rPr>
        <sz val="11"/>
        <color rgb="FF0D0D0D"/>
        <rFont val="Aptos Narrow"/>
        <family val="2"/>
        <scheme val="minor"/>
      </rPr>
      <t xml:space="preserve"> </t>
    </r>
  </si>
  <si>
    <t xml:space="preserve">Bury </t>
  </si>
  <si>
    <t>mainstream</t>
  </si>
  <si>
    <t>special</t>
  </si>
  <si>
    <t xml:space="preserve">Calderdale </t>
  </si>
  <si>
    <t xml:space="preserve">Cambridgeshire </t>
  </si>
  <si>
    <t xml:space="preserve">Camden </t>
  </si>
  <si>
    <t xml:space="preserve">Central Bedfordshire </t>
  </si>
  <si>
    <t xml:space="preserve">Cheshire East </t>
  </si>
  <si>
    <t xml:space="preserve">Cheshire West and Chester </t>
  </si>
  <si>
    <t xml:space="preserve">Cornwall </t>
  </si>
  <si>
    <t xml:space="preserve">County Durham </t>
  </si>
  <si>
    <t>Mainstream Per Pupil Per Day Rate</t>
  </si>
  <si>
    <t xml:space="preserve">Coventry </t>
  </si>
  <si>
    <t>Mainstream Daily Rate</t>
  </si>
  <si>
    <t xml:space="preserve">Croydon </t>
  </si>
  <si>
    <t>Special/AP Per Pupil Per Day Rate</t>
  </si>
  <si>
    <t xml:space="preserve">Cumberland </t>
  </si>
  <si>
    <t>Special/AP Daily Rate</t>
  </si>
  <si>
    <t xml:space="preserve">Darlington </t>
  </si>
  <si>
    <t>Start up payment</t>
  </si>
  <si>
    <t xml:space="preserve">Derby </t>
  </si>
  <si>
    <t xml:space="preserve">Derbyshire </t>
  </si>
  <si>
    <t xml:space="preserve">Devon </t>
  </si>
  <si>
    <t>initial set up cost</t>
  </si>
  <si>
    <t xml:space="preserve">Doncaster </t>
  </si>
  <si>
    <t xml:space="preserve">Dorset </t>
  </si>
  <si>
    <t xml:space="preserve">Dudley </t>
  </si>
  <si>
    <t xml:space="preserve">Ealing </t>
  </si>
  <si>
    <t xml:space="preserve">East Riding of Yorkshire </t>
  </si>
  <si>
    <t xml:space="preserve">East Sussex </t>
  </si>
  <si>
    <t xml:space="preserve">Enfield </t>
  </si>
  <si>
    <t xml:space="preserve">Essex Fringe </t>
  </si>
  <si>
    <t xml:space="preserve">Essex non-Fringe </t>
  </si>
  <si>
    <t xml:space="preserve">Gateshead </t>
  </si>
  <si>
    <t xml:space="preserve">Gloucestershire </t>
  </si>
  <si>
    <t xml:space="preserve">Greenwich </t>
  </si>
  <si>
    <t xml:space="preserve">Hackney </t>
  </si>
  <si>
    <t xml:space="preserve">Halton </t>
  </si>
  <si>
    <t xml:space="preserve">Hammersmith and Fulham </t>
  </si>
  <si>
    <t xml:space="preserve">Hampshire </t>
  </si>
  <si>
    <t xml:space="preserve">Haringey </t>
  </si>
  <si>
    <t xml:space="preserve">Harrow </t>
  </si>
  <si>
    <t xml:space="preserve">Hartlepool </t>
  </si>
  <si>
    <t xml:space="preserve">Havering </t>
  </si>
  <si>
    <t xml:space="preserve">Herefordshire, County of </t>
  </si>
  <si>
    <t xml:space="preserve">Hertfordshire Fringe </t>
  </si>
  <si>
    <t xml:space="preserve">Hertfordshire non-Fringe </t>
  </si>
  <si>
    <t xml:space="preserve">Hillingdon </t>
  </si>
  <si>
    <t xml:space="preserve">Hounslow </t>
  </si>
  <si>
    <t xml:space="preserve">Isle of Wight </t>
  </si>
  <si>
    <t xml:space="preserve">Islington </t>
  </si>
  <si>
    <t xml:space="preserve">Kensington and Chelsea </t>
  </si>
  <si>
    <t xml:space="preserve">Kent Fringe </t>
  </si>
  <si>
    <t xml:space="preserve">Kent non-Fringe </t>
  </si>
  <si>
    <t xml:space="preserve">Kingston upon Hull, City of </t>
  </si>
  <si>
    <t xml:space="preserve">Kingston upon Thames </t>
  </si>
  <si>
    <t xml:space="preserve">Kirklees </t>
  </si>
  <si>
    <t xml:space="preserve">Knowsley </t>
  </si>
  <si>
    <t xml:space="preserve">Lambeth </t>
  </si>
  <si>
    <t xml:space="preserve">Lancashire </t>
  </si>
  <si>
    <t xml:space="preserve">Leeds </t>
  </si>
  <si>
    <t xml:space="preserve">Leicester </t>
  </si>
  <si>
    <t xml:space="preserve">Leicestershire </t>
  </si>
  <si>
    <t xml:space="preserve">Lewisham </t>
  </si>
  <si>
    <t xml:space="preserve">Lincolnshire </t>
  </si>
  <si>
    <t xml:space="preserve">Liverpool </t>
  </si>
  <si>
    <t xml:space="preserve">Luton </t>
  </si>
  <si>
    <t xml:space="preserve">Manchester </t>
  </si>
  <si>
    <t xml:space="preserve">Medway </t>
  </si>
  <si>
    <t xml:space="preserve">Merton </t>
  </si>
  <si>
    <t xml:space="preserve">Middlesbrough </t>
  </si>
  <si>
    <t xml:space="preserve">Milton Keynes </t>
  </si>
  <si>
    <t xml:space="preserve">Newcastle upon Tyne </t>
  </si>
  <si>
    <t xml:space="preserve">Newham </t>
  </si>
  <si>
    <t xml:space="preserve">Norfolk </t>
  </si>
  <si>
    <t xml:space="preserve">North East Lincolnshire </t>
  </si>
  <si>
    <t xml:space="preserve">North Lincolnshire </t>
  </si>
  <si>
    <t xml:space="preserve">North Northamptonshire </t>
  </si>
  <si>
    <t xml:space="preserve">North Somerset </t>
  </si>
  <si>
    <t xml:space="preserve">North Tyneside </t>
  </si>
  <si>
    <t xml:space="preserve">North Yorkshire </t>
  </si>
  <si>
    <t xml:space="preserve">Northumberland </t>
  </si>
  <si>
    <t xml:space="preserve">Nottingham </t>
  </si>
  <si>
    <t xml:space="preserve">Nottinghamshire </t>
  </si>
  <si>
    <t xml:space="preserve">Oldham </t>
  </si>
  <si>
    <t xml:space="preserve">Oxfordshire </t>
  </si>
  <si>
    <t xml:space="preserve">Peterborough </t>
  </si>
  <si>
    <t xml:space="preserve">Plymouth </t>
  </si>
  <si>
    <t xml:space="preserve">Portsmouth </t>
  </si>
  <si>
    <t xml:space="preserve">Reading </t>
  </si>
  <si>
    <t xml:space="preserve">Redbridge </t>
  </si>
  <si>
    <t xml:space="preserve">Redcar and Cleveland </t>
  </si>
  <si>
    <t xml:space="preserve">Richmond upon Thames </t>
  </si>
  <si>
    <t xml:space="preserve">Rochdale </t>
  </si>
  <si>
    <t xml:space="preserve">Rotherham </t>
  </si>
  <si>
    <t xml:space="preserve">Rutland </t>
  </si>
  <si>
    <t xml:space="preserve">Salford </t>
  </si>
  <si>
    <t xml:space="preserve">Sandwell </t>
  </si>
  <si>
    <t xml:space="preserve">Sefton </t>
  </si>
  <si>
    <t xml:space="preserve">Sheffield </t>
  </si>
  <si>
    <t xml:space="preserve">Shropshire </t>
  </si>
  <si>
    <t xml:space="preserve">Slough </t>
  </si>
  <si>
    <t xml:space="preserve">Solihull </t>
  </si>
  <si>
    <t xml:space="preserve">Somerset </t>
  </si>
  <si>
    <t>South Gloucestershire</t>
  </si>
  <si>
    <t xml:space="preserve">South Tyneside </t>
  </si>
  <si>
    <t xml:space="preserve">Southampton </t>
  </si>
  <si>
    <t xml:space="preserve">Southend-on-Sea </t>
  </si>
  <si>
    <t xml:space="preserve">Southwark </t>
  </si>
  <si>
    <t xml:space="preserve">St. Helens </t>
  </si>
  <si>
    <t xml:space="preserve">Staffordshire </t>
  </si>
  <si>
    <t xml:space="preserve">Stockport </t>
  </si>
  <si>
    <t xml:space="preserve">Stockton-on-Tees </t>
  </si>
  <si>
    <t xml:space="preserve">Stoke-on-Trent </t>
  </si>
  <si>
    <t xml:space="preserve">Suffolk </t>
  </si>
  <si>
    <t xml:space="preserve">Sunderland </t>
  </si>
  <si>
    <t xml:space="preserve">Surrey </t>
  </si>
  <si>
    <t xml:space="preserve">Sutton </t>
  </si>
  <si>
    <t xml:space="preserve">Swindon </t>
  </si>
  <si>
    <t xml:space="preserve">Tameside </t>
  </si>
  <si>
    <t xml:space="preserve">Telford and Wrekin </t>
  </si>
  <si>
    <t xml:space="preserve">Thurrock </t>
  </si>
  <si>
    <t xml:space="preserve">Torbay </t>
  </si>
  <si>
    <t xml:space="preserve">Tower Hamlets </t>
  </si>
  <si>
    <t xml:space="preserve">Trafford </t>
  </si>
  <si>
    <t xml:space="preserve">Wakefield </t>
  </si>
  <si>
    <t xml:space="preserve">Walsall </t>
  </si>
  <si>
    <t xml:space="preserve">Waltham Forest </t>
  </si>
  <si>
    <t xml:space="preserve">Wandsworth </t>
  </si>
  <si>
    <t xml:space="preserve">Warrington </t>
  </si>
  <si>
    <t xml:space="preserve">Warwickshire </t>
  </si>
  <si>
    <t xml:space="preserve">West Berkshire </t>
  </si>
  <si>
    <t>West Northamptonshire</t>
  </si>
  <si>
    <t xml:space="preserve">West Sussex Fringe </t>
  </si>
  <si>
    <t xml:space="preserve">West Sussex non-Fringe </t>
  </si>
  <si>
    <t xml:space="preserve">Westminster </t>
  </si>
  <si>
    <t xml:space="preserve">Westmorland and Furness </t>
  </si>
  <si>
    <t xml:space="preserve">Wigan </t>
  </si>
  <si>
    <t xml:space="preserve">Wiltshire </t>
  </si>
  <si>
    <t xml:space="preserve">Windsor and Maidenhead </t>
  </si>
  <si>
    <t xml:space="preserve">Wirral </t>
  </si>
  <si>
    <t xml:space="preserve">Wokingham </t>
  </si>
  <si>
    <t xml:space="preserve">Wolverhampton </t>
  </si>
  <si>
    <t xml:space="preserve">Worcestershire </t>
  </si>
  <si>
    <t xml:space="preserve">York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</si>
</sst>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quot;£&quot;#,##0.00;[Red]\-&quot;£&quot;#,##0.00"/>
    <numFmt numFmtId="166" formatCode="0.00000"/>
  </numFmts>
  <fonts count="14">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sz val="11"/>
      <color rgb="FF0D0D0D"/>
      <name val="Aptos Narrow"/>
      <family val="2"/>
      <scheme val="minor"/>
    </font>
    <font>
      <sz val="11"/>
      <color rgb="FF000000"/>
      <name val="Aptos Narrow"/>
      <family val="2"/>
      <scheme val="minor"/>
    </font>
    <font>
      <b/>
      <sz val="11"/>
      <color theme="0"/>
      <name val="Aptos Narrow"/>
      <family val="2"/>
      <scheme val="minor"/>
    </font>
    <font>
      <b/>
      <sz val="16"/>
      <color theme="1"/>
      <name val="Aptos Narrow"/>
      <family val="2"/>
      <scheme val="minor"/>
    </font>
    <font>
      <sz val="11"/>
      <color rgb="FF454545"/>
      <name val="Aptos Narrow"/>
      <family val="2"/>
      <scheme val="minor"/>
    </font>
    <font>
      <b/>
      <sz val="20"/>
      <color theme="1"/>
      <name val="Aptos Narrow"/>
      <family val="2"/>
      <scheme val="minor"/>
    </font>
    <font>
      <b/>
      <sz val="12"/>
      <color theme="1"/>
      <name val="Aptos Narrow"/>
      <family val="2"/>
      <scheme val="minor"/>
    </font>
    <font>
      <b/>
      <sz val="11"/>
      <color rgb="FFFF0000"/>
      <name val="Aptos Narrow"/>
      <family val="2"/>
      <scheme val="minor"/>
    </font>
    <font>
      <b/>
      <sz val="11"/>
      <color rgb="FF000000"/>
      <name val="Aptos Narrow"/>
      <family val="2"/>
    </font>
    <font>
      <sz val="11"/>
      <color rgb="FF000000"/>
      <name val="Aptos Narrow"/>
      <family val="2"/>
    </font>
  </fonts>
  <fills count="14">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8"/>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2F2F2"/>
        <bgColor indexed="64"/>
      </patternFill>
    </fill>
    <fill>
      <patternFill patternType="solid">
        <fgColor rgb="FFD9EAF7"/>
        <bgColor indexed="64"/>
      </patternFill>
    </fill>
    <fill>
      <patternFill patternType="solid">
        <fgColor rgb="FF007ACC"/>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2" borderId="0" xfId="0" applyFill="1"/>
    <xf numFmtId="0" fontId="0" fillId="2" borderId="0" xfId="0" applyFill="1" applyAlignment="1">
      <alignment wrapText="1"/>
    </xf>
    <xf numFmtId="164" fontId="0" fillId="2" borderId="0" xfId="0" applyNumberFormat="1" applyFill="1"/>
    <xf numFmtId="0" fontId="1" fillId="2" borderId="0" xfId="0" applyFont="1" applyFill="1" applyAlignment="1">
      <alignment horizontal="center"/>
    </xf>
    <xf numFmtId="0" fontId="0" fillId="3" borderId="0" xfId="0" applyFill="1"/>
    <xf numFmtId="0" fontId="0" fillId="4" borderId="0" xfId="0" applyFill="1"/>
    <xf numFmtId="0" fontId="0" fillId="5" borderId="0" xfId="0" applyFill="1"/>
    <xf numFmtId="0" fontId="2" fillId="6" borderId="0" xfId="0" applyFont="1" applyFill="1"/>
    <xf numFmtId="0" fontId="2" fillId="5" borderId="0" xfId="0" applyFont="1" applyFill="1"/>
    <xf numFmtId="165" fontId="0" fillId="7" borderId="0" xfId="0" applyNumberFormat="1" applyFill="1"/>
    <xf numFmtId="0" fontId="0" fillId="8" borderId="0" xfId="0" applyFill="1"/>
    <xf numFmtId="0" fontId="4" fillId="9" borderId="0" xfId="0" applyFont="1" applyFill="1" applyAlignment="1">
      <alignment vertical="center" wrapText="1"/>
    </xf>
    <xf numFmtId="0" fontId="0" fillId="9" borderId="0" xfId="0" applyFill="1"/>
    <xf numFmtId="0" fontId="5" fillId="9" borderId="0" xfId="0" applyFont="1" applyFill="1" applyAlignment="1">
      <alignment vertical="center" wrapText="1"/>
    </xf>
    <xf numFmtId="0" fontId="5" fillId="9" borderId="0" xfId="0" applyFont="1" applyFill="1" applyAlignment="1">
      <alignment horizontal="right" vertical="center" wrapText="1"/>
    </xf>
    <xf numFmtId="0" fontId="3" fillId="9" borderId="0" xfId="1" applyFill="1"/>
    <xf numFmtId="0" fontId="1" fillId="9" borderId="1" xfId="0" applyFont="1" applyFill="1" applyBorder="1"/>
    <xf numFmtId="0" fontId="1" fillId="3" borderId="1" xfId="0" applyFont="1" applyFill="1" applyBorder="1"/>
    <xf numFmtId="0" fontId="1" fillId="4" borderId="1" xfId="0" applyFont="1" applyFill="1" applyBorder="1"/>
    <xf numFmtId="0" fontId="1" fillId="9" borderId="0" xfId="0" applyFont="1" applyFill="1"/>
    <xf numFmtId="0" fontId="0" fillId="2" borderId="0" xfId="0" applyFill="1" applyAlignment="1">
      <alignment horizontal="center"/>
    </xf>
    <xf numFmtId="0" fontId="0" fillId="2" borderId="0" xfId="0" applyFill="1" applyAlignment="1">
      <alignment horizontal="right"/>
    </xf>
    <xf numFmtId="0" fontId="1" fillId="2" borderId="0" xfId="0" applyFont="1" applyFill="1"/>
    <xf numFmtId="0" fontId="1" fillId="2" borderId="0" xfId="0" applyFont="1" applyFill="1" applyAlignment="1">
      <alignment horizontal="right"/>
    </xf>
    <xf numFmtId="164" fontId="0" fillId="2" borderId="0" xfId="0" applyNumberFormat="1" applyFill="1" applyAlignment="1">
      <alignment horizontal="right"/>
    </xf>
    <xf numFmtId="166" fontId="0" fillId="2" borderId="0" xfId="0" applyNumberFormat="1" applyFill="1" applyAlignment="1">
      <alignment horizontal="right"/>
    </xf>
    <xf numFmtId="0" fontId="0" fillId="2" borderId="0" xfId="0" applyFill="1" applyAlignment="1">
      <alignment horizontal="right" wrapText="1"/>
    </xf>
    <xf numFmtId="0" fontId="8" fillId="2" borderId="0" xfId="0" applyFont="1" applyFill="1"/>
    <xf numFmtId="166" fontId="0" fillId="2" borderId="1" xfId="0" applyNumberFormat="1" applyFill="1" applyBorder="1" applyAlignment="1">
      <alignment horizontal="right"/>
    </xf>
    <xf numFmtId="0" fontId="0" fillId="2" borderId="1" xfId="0" applyFill="1" applyBorder="1" applyAlignment="1">
      <alignment horizontal="right"/>
    </xf>
    <xf numFmtId="0" fontId="9" fillId="2" borderId="0" xfId="0" applyFont="1" applyFill="1"/>
    <xf numFmtId="0" fontId="7" fillId="2" borderId="1" xfId="0" applyFont="1" applyFill="1" applyBorder="1" applyAlignment="1">
      <alignment horizontal="right"/>
    </xf>
    <xf numFmtId="0" fontId="10" fillId="2" borderId="0" xfId="0" applyFont="1" applyFill="1" applyAlignment="1">
      <alignment horizontal="right"/>
    </xf>
    <xf numFmtId="164" fontId="10" fillId="2" borderId="0" xfId="0" applyNumberFormat="1" applyFont="1" applyFill="1" applyAlignment="1">
      <alignment horizontal="right"/>
    </xf>
    <xf numFmtId="0" fontId="1" fillId="11" borderId="0" xfId="0" applyFont="1" applyFill="1" applyAlignment="1">
      <alignment horizontal="center" wrapText="1"/>
    </xf>
    <xf numFmtId="164" fontId="0" fillId="11" borderId="0" xfId="0" applyNumberFormat="1" applyFill="1" applyAlignment="1">
      <alignment horizontal="center"/>
    </xf>
    <xf numFmtId="164" fontId="6" fillId="12" borderId="0" xfId="0" applyNumberFormat="1" applyFont="1" applyFill="1" applyAlignment="1">
      <alignment horizontal="center"/>
    </xf>
    <xf numFmtId="0" fontId="3" fillId="0" borderId="0" xfId="1"/>
    <xf numFmtId="0" fontId="11" fillId="2" borderId="0" xfId="0" applyFont="1" applyFill="1"/>
    <xf numFmtId="0" fontId="0" fillId="2" borderId="0" xfId="0" applyFill="1" applyAlignment="1">
      <alignment horizontal="left" wrapText="1"/>
    </xf>
    <xf numFmtId="0" fontId="1" fillId="11" borderId="0" xfId="0" applyFont="1" applyFill="1" applyAlignment="1">
      <alignment horizontal="center"/>
    </xf>
    <xf numFmtId="0" fontId="0" fillId="10" borderId="0" xfId="0" applyFill="1" applyAlignment="1" applyProtection="1">
      <alignment horizontal="right"/>
      <protection locked="0"/>
    </xf>
    <xf numFmtId="166" fontId="0" fillId="13" borderId="0" xfId="0" applyNumberFormat="1" applyFill="1" applyAlignment="1" applyProtection="1">
      <alignment horizontal="right"/>
      <protection locked="0"/>
    </xf>
    <xf numFmtId="0" fontId="1" fillId="2" borderId="0" xfId="0" applyFont="1" applyFill="1" applyAlignment="1">
      <alignment vertical="top"/>
    </xf>
    <xf numFmtId="0" fontId="1" fillId="2" borderId="0" xfId="0" applyFont="1" applyFill="1" applyAlignment="1">
      <alignment vertical="top" wrapText="1"/>
    </xf>
    <xf numFmtId="0" fontId="0" fillId="2" borderId="0" xfId="0" applyFill="1" applyAlignment="1">
      <alignment vertical="top"/>
    </xf>
    <xf numFmtId="0" fontId="3" fillId="2" borderId="0" xfId="1" applyFill="1" applyAlignment="1">
      <alignment horizontal="left"/>
    </xf>
    <xf numFmtId="0" fontId="13"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wrapText="1"/>
    </xf>
    <xf numFmtId="0" fontId="3" fillId="2" borderId="0" xfId="1" applyFill="1" applyAlignment="1">
      <alignment horizontal="left" vertical="top" wrapText="1"/>
    </xf>
    <xf numFmtId="0" fontId="0" fillId="2" borderId="0" xfId="0" applyFill="1" applyAlignment="1">
      <alignment horizontal="right"/>
    </xf>
    <xf numFmtId="0" fontId="1" fillId="2" borderId="0" xfId="0" applyFont="1" applyFill="1" applyAlignment="1">
      <alignment horizontal="right"/>
    </xf>
    <xf numFmtId="0" fontId="7" fillId="2" borderId="1" xfId="0" applyFont="1" applyFill="1" applyBorder="1" applyAlignment="1">
      <alignment horizontal="left"/>
    </xf>
    <xf numFmtId="0" fontId="1" fillId="11"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7ACC"/>
      <color rgb="FFD9EAF7"/>
      <color rgb="FF454545"/>
      <color rgb="FF7B7B7B"/>
      <color rgb="FFF2F2F2"/>
      <color rgb="FFFFFF99"/>
      <color rgb="FFB5E6A2"/>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free-breakfast-club-grant-2025-to-2026-academic-year/free-breakfast-clubs-grant-conditions-of-grant-for-april-to-july-2026" TargetMode="External"/><Relationship Id="rId2" Type="http://schemas.openxmlformats.org/officeDocument/2006/relationships/hyperlink" Target="https://www.gov.uk/government/publications/free-breakfast-club-grant-2025-to-2026-academic-year/free-breakfast-clubs-grant-methodology-for-april-2026-to-july-2026" TargetMode="External"/><Relationship Id="rId1" Type="http://schemas.openxmlformats.org/officeDocument/2006/relationships/hyperlink" Target="https://assets.publishing.service.gov.uk/media/674ed7ae26364a399a991a72/NFF_area_cost_adjustment_technical_not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s://assets.publishing.service.gov.uk/media/674ed7ae26364a399a991a72/NFF_area_cost_adjustment_technical_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DA78-8216-4069-A1CA-CB7F3A2A84C8}">
  <dimension ref="B1:L20"/>
  <sheetViews>
    <sheetView workbookViewId="0">
      <selection activeCell="F23" sqref="F23"/>
    </sheetView>
  </sheetViews>
  <sheetFormatPr defaultColWidth="9.140625" defaultRowHeight="14.45"/>
  <cols>
    <col min="1" max="1" width="9.140625" style="1"/>
    <col min="2" max="2" width="11" style="1" bestFit="1" customWidth="1"/>
    <col min="3" max="3" width="17.28515625" style="1" bestFit="1" customWidth="1"/>
    <col min="4" max="7" width="9.140625" style="1"/>
    <col min="8" max="8" width="15.28515625" style="1" customWidth="1"/>
    <col min="9" max="16384" width="9.140625" style="1"/>
  </cols>
  <sheetData>
    <row r="1" spans="2:12">
      <c r="B1" s="39"/>
    </row>
    <row r="3" spans="2:12" ht="17.100000000000001" customHeight="1">
      <c r="B3" s="44" t="s">
        <v>0</v>
      </c>
      <c r="C3" s="46" t="s">
        <v>1</v>
      </c>
    </row>
    <row r="4" spans="2:12" ht="33" customHeight="1">
      <c r="B4" s="45" t="s">
        <v>2</v>
      </c>
      <c r="C4" s="49" t="s">
        <v>3</v>
      </c>
      <c r="D4" s="49"/>
      <c r="E4" s="49"/>
      <c r="F4" s="49"/>
      <c r="G4" s="49"/>
      <c r="H4" s="49"/>
    </row>
    <row r="5" spans="2:12">
      <c r="B5" s="23" t="s">
        <v>4</v>
      </c>
    </row>
    <row r="6" spans="2:12" ht="152.25" customHeight="1">
      <c r="B6" s="48" t="s">
        <v>5</v>
      </c>
      <c r="C6" s="49"/>
      <c r="D6" s="49"/>
      <c r="E6" s="49"/>
      <c r="F6" s="49"/>
      <c r="G6" s="49"/>
      <c r="H6" s="49"/>
      <c r="I6" s="49"/>
      <c r="J6" s="49"/>
      <c r="K6" s="49"/>
      <c r="L6" s="49"/>
    </row>
    <row r="7" spans="2:12">
      <c r="B7" s="49"/>
      <c r="C7" s="49"/>
      <c r="D7" s="49"/>
      <c r="E7" s="49"/>
      <c r="F7" s="49"/>
      <c r="G7" s="49"/>
      <c r="H7" s="49"/>
      <c r="I7" s="49"/>
      <c r="J7" s="49"/>
      <c r="K7" s="49"/>
      <c r="L7" s="49"/>
    </row>
    <row r="8" spans="2:12">
      <c r="B8" s="49"/>
      <c r="C8" s="49"/>
      <c r="D8" s="49"/>
      <c r="E8" s="49"/>
      <c r="F8" s="49"/>
      <c r="G8" s="49"/>
      <c r="H8" s="49"/>
      <c r="I8" s="49"/>
      <c r="J8" s="49"/>
      <c r="K8" s="49"/>
      <c r="L8" s="49"/>
    </row>
    <row r="9" spans="2:12">
      <c r="B9" s="49"/>
      <c r="C9" s="49"/>
      <c r="D9" s="49"/>
      <c r="E9" s="49"/>
      <c r="F9" s="49"/>
      <c r="G9" s="49"/>
      <c r="H9" s="49"/>
      <c r="I9" s="49"/>
      <c r="J9" s="49"/>
      <c r="K9" s="49"/>
      <c r="L9" s="49"/>
    </row>
    <row r="10" spans="2:12">
      <c r="B10" s="49"/>
      <c r="C10" s="49"/>
      <c r="D10" s="49"/>
      <c r="E10" s="49"/>
      <c r="F10" s="49"/>
      <c r="G10" s="49"/>
      <c r="H10" s="49"/>
      <c r="I10" s="49"/>
      <c r="J10" s="49"/>
      <c r="K10" s="49"/>
      <c r="L10" s="49"/>
    </row>
    <row r="11" spans="2:12">
      <c r="B11" s="49"/>
      <c r="C11" s="49"/>
      <c r="D11" s="49"/>
      <c r="E11" s="49"/>
      <c r="F11" s="49"/>
      <c r="G11" s="49"/>
      <c r="H11" s="49"/>
      <c r="I11" s="49"/>
      <c r="J11" s="49"/>
      <c r="K11" s="49"/>
      <c r="L11" s="49"/>
    </row>
    <row r="13" spans="2:12">
      <c r="B13" s="23" t="s">
        <v>6</v>
      </c>
    </row>
    <row r="14" spans="2:12" ht="42.6" customHeight="1">
      <c r="B14" s="50" t="s">
        <v>7</v>
      </c>
      <c r="C14" s="50"/>
      <c r="D14" s="50"/>
      <c r="E14" s="50"/>
      <c r="F14" s="50"/>
      <c r="G14" s="50"/>
      <c r="H14" s="50"/>
      <c r="I14" s="50"/>
    </row>
    <row r="16" spans="2:12">
      <c r="B16" s="23" t="s">
        <v>8</v>
      </c>
    </row>
    <row r="17" spans="2:10" ht="15">
      <c r="B17" s="51" t="s">
        <v>9</v>
      </c>
      <c r="C17" s="51"/>
      <c r="D17" s="51"/>
      <c r="E17" s="51"/>
      <c r="F17" s="51"/>
      <c r="G17" s="51"/>
      <c r="H17" s="51"/>
      <c r="I17" s="51"/>
      <c r="J17" s="51"/>
    </row>
    <row r="18" spans="2:10" ht="15">
      <c r="B18" s="47" t="s">
        <v>10</v>
      </c>
      <c r="C18" s="47"/>
      <c r="D18" s="47"/>
    </row>
    <row r="20" spans="2:10">
      <c r="B20" s="23" t="s">
        <v>11</v>
      </c>
      <c r="C20" s="1" t="s">
        <v>12</v>
      </c>
      <c r="D20" s="38" t="s">
        <v>13</v>
      </c>
    </row>
  </sheetData>
  <sheetProtection selectLockedCells="1" selectUnlockedCells="1"/>
  <mergeCells count="5">
    <mergeCell ref="B18:D18"/>
    <mergeCell ref="B6:L11"/>
    <mergeCell ref="C4:H4"/>
    <mergeCell ref="B14:I14"/>
    <mergeCell ref="B17:J17"/>
  </mergeCells>
  <hyperlinks>
    <hyperlink ref="D20" r:id="rId1" display="https://assets.publishing.service.gov.uk/media/674ed7ae26364a399a991a72/NFF_area_cost_adjustment_technical_note.pdf" xr:uid="{DAD31C7B-6CC1-4FD5-B5BD-FE4A77986713}"/>
    <hyperlink ref="B17:J17" r:id="rId2" display="Free breakfast clubs funding methodology_x000a_" xr:uid="{3535BB1A-B6B0-41C1-A740-26B0647BE9F2}"/>
    <hyperlink ref="B18:D18" r:id="rId3" display="Free brekafast clubs conditions of the grant" xr:uid="{DFFECD55-5904-436B-BFE9-95F47E57C8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BB7F-CA15-4B39-B0A7-A8AB9BA1714C}">
  <dimension ref="A1:W29"/>
  <sheetViews>
    <sheetView tabSelected="1" workbookViewId="0">
      <selection activeCell="B9" sqref="B9"/>
    </sheetView>
  </sheetViews>
  <sheetFormatPr defaultColWidth="9.140625" defaultRowHeight="14.45"/>
  <cols>
    <col min="1" max="1" width="39.28515625" style="1" bestFit="1" customWidth="1"/>
    <col min="2" max="2" width="35.85546875" style="22" bestFit="1" customWidth="1"/>
    <col min="3" max="7" width="12.5703125" style="1" customWidth="1"/>
    <col min="8" max="8" width="2.85546875" style="1" customWidth="1"/>
    <col min="9" max="12" width="12.5703125" style="1" customWidth="1"/>
    <col min="13" max="13" width="2.85546875" style="1" customWidth="1"/>
    <col min="14" max="17" width="12.5703125" style="1" customWidth="1"/>
    <col min="18" max="18" width="2.85546875" style="1" customWidth="1"/>
    <col min="19" max="22" width="12.5703125" style="1" customWidth="1"/>
    <col min="23" max="16384" width="9.140625" style="1"/>
  </cols>
  <sheetData>
    <row r="1" spans="1:3" ht="26.1">
      <c r="A1" s="31" t="s">
        <v>14</v>
      </c>
    </row>
    <row r="3" spans="1:3" ht="21">
      <c r="A3" s="32" t="s">
        <v>15</v>
      </c>
      <c r="B3" s="30"/>
    </row>
    <row r="4" spans="1:3" ht="6" customHeight="1"/>
    <row r="5" spans="1:3">
      <c r="A5" s="22" t="s">
        <v>16</v>
      </c>
      <c r="B5" s="22" t="s">
        <v>17</v>
      </c>
    </row>
    <row r="6" spans="1:3">
      <c r="A6" s="22" t="s">
        <v>18</v>
      </c>
      <c r="B6" s="42"/>
      <c r="C6" s="28" t="s">
        <v>19</v>
      </c>
    </row>
    <row r="7" spans="1:3">
      <c r="A7" s="22" t="s">
        <v>20</v>
      </c>
      <c r="B7" s="42"/>
      <c r="C7" s="28" t="s">
        <v>21</v>
      </c>
    </row>
    <row r="8" spans="1:3">
      <c r="A8" s="22" t="s">
        <v>22</v>
      </c>
      <c r="B8" s="26">
        <f>_xlfn.IFNA(INDEX(aca_table,MATCH(la_selection,INDEX(aca_table,,1),0),MATCH(school_type_selection,INDEX(aca_table,1,),0)), 1)</f>
        <v>1</v>
      </c>
    </row>
    <row r="9" spans="1:3">
      <c r="A9" s="22" t="s">
        <v>23</v>
      </c>
      <c r="B9" s="43"/>
      <c r="C9" s="28" t="s">
        <v>24</v>
      </c>
    </row>
    <row r="10" spans="1:3">
      <c r="A10" s="22"/>
      <c r="B10" s="26"/>
    </row>
    <row r="11" spans="1:3" ht="21">
      <c r="A11" s="32" t="s">
        <v>25</v>
      </c>
      <c r="B11" s="29"/>
    </row>
    <row r="12" spans="1:3" ht="6" customHeight="1"/>
    <row r="13" spans="1:3" ht="15.95">
      <c r="A13" s="33" t="s">
        <v>26</v>
      </c>
      <c r="B13" s="34">
        <f>'mainstream termly breakdown'!D20</f>
        <v>4850</v>
      </c>
    </row>
    <row r="14" spans="1:3">
      <c r="A14" s="22" t="s">
        <v>27</v>
      </c>
      <c r="B14" s="25">
        <f>'mainstream termly breakdown'!I20</f>
        <v>1575</v>
      </c>
    </row>
    <row r="15" spans="1:3">
      <c r="A15" s="22" t="s">
        <v>28</v>
      </c>
      <c r="B15" s="25">
        <f>'mainstream termly breakdown'!N20</f>
        <v>1850</v>
      </c>
    </row>
    <row r="16" spans="1:3">
      <c r="A16" s="22" t="s">
        <v>29</v>
      </c>
      <c r="B16" s="25">
        <f>'mainstream termly breakdown'!R20</f>
        <v>1425</v>
      </c>
    </row>
    <row r="17" spans="1:23">
      <c r="A17" s="22"/>
      <c r="B17" s="25"/>
    </row>
    <row r="18" spans="1:23">
      <c r="W18" s="3"/>
    </row>
    <row r="20" spans="1:23" ht="21">
      <c r="A20" s="54" t="s">
        <v>30</v>
      </c>
      <c r="B20" s="54"/>
    </row>
    <row r="21" spans="1:23" s="2" customFormat="1" ht="6" customHeight="1">
      <c r="B21" s="27"/>
    </row>
    <row r="22" spans="1:23">
      <c r="A22" s="1" t="s">
        <v>31</v>
      </c>
    </row>
    <row r="24" spans="1:23">
      <c r="A24" s="53" t="s">
        <v>32</v>
      </c>
      <c r="B24" s="53"/>
      <c r="C24" s="24" t="s">
        <v>33</v>
      </c>
    </row>
    <row r="25" spans="1:23">
      <c r="A25" s="52" t="str">
        <f>_xlfn.CONCAT("If approximatley ", ABS(1-'lookups (to be hidden)'!H25)*100, "% fewer children than estimated attend (", 'lookups (to be hidden)'!I25, " pupils)")</f>
        <v>If approximatley 20% fewer children than estimated attend (0 pupils)</v>
      </c>
      <c r="B25" s="52"/>
      <c r="C25" s="3">
        <f>'mainstream termly breakdown'!D18</f>
        <v>4850</v>
      </c>
    </row>
    <row r="26" spans="1:23">
      <c r="A26" s="52" t="str">
        <f>_xlfn.CONCAT("If approximatley ", ABS(1-'lookups (to be hidden)'!H26)*100, "% fewer children than estimated attend (", 'lookups (to be hidden)'!I26, " pupils)")</f>
        <v>If approximatley 10% fewer children than estimated attend (0 pupils)</v>
      </c>
      <c r="B26" s="52"/>
      <c r="C26" s="3">
        <f>'mainstream termly breakdown'!D19</f>
        <v>4850</v>
      </c>
    </row>
    <row r="27" spans="1:23">
      <c r="A27" s="52" t="str">
        <f>_xlfn.CONCAT("If estimated number of children attend (", 'lookups (to be hidden)'!I27, " pupils)")</f>
        <v>If estimated number of children attend (0 pupils)</v>
      </c>
      <c r="B27" s="52"/>
      <c r="C27" s="3">
        <f>'mainstream termly breakdown'!D20</f>
        <v>4850</v>
      </c>
    </row>
    <row r="28" spans="1:23">
      <c r="A28" s="52" t="str">
        <f>_xlfn.CONCAT("If approximately ", ABS(1-'lookups (to be hidden)'!H28)*100, "% more children than estimated attend (", 'lookups (to be hidden)'!I28, " pupils)")</f>
        <v>If approximately 10% more children than estimated attend (0 pupils)</v>
      </c>
      <c r="B28" s="52"/>
      <c r="C28" s="3">
        <f>'mainstream termly breakdown'!D21</f>
        <v>4850</v>
      </c>
    </row>
    <row r="29" spans="1:23">
      <c r="A29" s="52" t="str">
        <f>_xlfn.CONCAT("If approximately ", ABS(1-'lookups (to be hidden)'!H29)*100, "% more children than estimated attend (", 'lookups (to be hidden)'!I29, " pupils)")</f>
        <v>If approximately 20% more children than estimated attend (0 pupils)</v>
      </c>
      <c r="B29" s="52"/>
      <c r="C29" s="3">
        <f>'mainstream termly breakdown'!D22</f>
        <v>4850</v>
      </c>
    </row>
  </sheetData>
  <sheetProtection sheet="1" selectLockedCells="1"/>
  <mergeCells count="7">
    <mergeCell ref="A29:B29"/>
    <mergeCell ref="A25:B25"/>
    <mergeCell ref="A26:B26"/>
    <mergeCell ref="A24:B24"/>
    <mergeCell ref="A20:B20"/>
    <mergeCell ref="A27:B27"/>
    <mergeCell ref="A28:B28"/>
  </mergeCells>
  <dataValidations count="3">
    <dataValidation type="list" allowBlank="1" showInputMessage="1" showErrorMessage="1" sqref="B7" xr:uid="{DFE66625-7D90-4770-9C78-888EAD535447}">
      <formula1>local_authorities</formula1>
    </dataValidation>
    <dataValidation type="list" allowBlank="1" showInputMessage="1" showErrorMessage="1" sqref="B5" xr:uid="{7C244C34-82CF-4298-8A8D-73B5117885D5}">
      <formula1>school_type</formula1>
    </dataValidation>
    <dataValidation type="list" allowBlank="1" showInputMessage="1" showErrorMessage="1" sqref="B9" xr:uid="{DD67B22C-6AE7-4F5C-A7F1-939B225CDE37}">
      <formula1>ea_or_new</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48A0-84DC-4A95-8387-8C2F2EA45119}">
  <dimension ref="A1:T22"/>
  <sheetViews>
    <sheetView workbookViewId="0">
      <selection activeCell="C33" sqref="C33"/>
    </sheetView>
  </sheetViews>
  <sheetFormatPr defaultColWidth="9.140625" defaultRowHeight="14.45"/>
  <cols>
    <col min="1" max="1" width="39.28515625" style="1" customWidth="1"/>
    <col min="2" max="2" width="35.85546875" style="22" customWidth="1"/>
    <col min="3" max="3" width="12.5703125" style="1" customWidth="1"/>
    <col min="4" max="7" width="18.42578125" style="1" customWidth="1"/>
    <col min="8" max="8" width="1" style="1" customWidth="1"/>
    <col min="9" max="12" width="18.42578125" style="1" customWidth="1"/>
    <col min="13" max="13" width="1" style="1" customWidth="1"/>
    <col min="14" max="16" width="18.42578125" style="1" customWidth="1"/>
    <col min="17" max="17" width="1" style="1" customWidth="1"/>
    <col min="18" max="20" width="18.42578125" style="1" customWidth="1"/>
    <col min="21" max="16384" width="9.140625" style="1"/>
  </cols>
  <sheetData>
    <row r="1" spans="1:20" ht="26.1">
      <c r="A1" s="31" t="s">
        <v>14</v>
      </c>
    </row>
    <row r="3" spans="1:20" ht="21">
      <c r="A3" s="32" t="s">
        <v>15</v>
      </c>
      <c r="B3" s="30"/>
    </row>
    <row r="4" spans="1:20" ht="6" customHeight="1"/>
    <row r="5" spans="1:20">
      <c r="A5" s="22" t="s">
        <v>16</v>
      </c>
      <c r="B5" s="22" t="str">
        <f>school_type_selection</f>
        <v>Mainstream</v>
      </c>
    </row>
    <row r="6" spans="1:20">
      <c r="A6" s="22" t="s">
        <v>18</v>
      </c>
      <c r="B6" s="22">
        <f>num_of_pupils</f>
        <v>0</v>
      </c>
      <c r="C6" s="28" t="s">
        <v>34</v>
      </c>
    </row>
    <row r="7" spans="1:20">
      <c r="A7" s="22" t="s">
        <v>20</v>
      </c>
      <c r="B7" s="22" t="str">
        <f>IF(la_selection="", "", la_selection)</f>
        <v/>
      </c>
      <c r="C7" s="28" t="s">
        <v>34</v>
      </c>
    </row>
    <row r="8" spans="1:20">
      <c r="A8" s="22" t="s">
        <v>22</v>
      </c>
      <c r="B8" s="26">
        <f>aca_value</f>
        <v>1</v>
      </c>
    </row>
    <row r="9" spans="1:20">
      <c r="A9" s="22" t="s">
        <v>23</v>
      </c>
      <c r="B9" s="26" t="str">
        <f>IF(mainstream_ea_or_new_selection="","",mainstream_ea_or_new_selection)</f>
        <v/>
      </c>
      <c r="C9" s="28" t="s">
        <v>34</v>
      </c>
    </row>
    <row r="10" spans="1:20">
      <c r="A10" s="22"/>
      <c r="B10" s="26"/>
    </row>
    <row r="11" spans="1:20" ht="21">
      <c r="A11" s="32" t="s">
        <v>35</v>
      </c>
      <c r="B11" s="29"/>
    </row>
    <row r="12" spans="1:20" ht="6" customHeight="1"/>
    <row r="13" spans="1:20">
      <c r="A13" s="50" t="s">
        <v>36</v>
      </c>
      <c r="B13" s="50"/>
      <c r="C13" s="50"/>
      <c r="D13" s="50"/>
      <c r="E13" s="50"/>
      <c r="F13" s="50"/>
      <c r="G13" s="40"/>
    </row>
    <row r="14" spans="1:20">
      <c r="A14" s="50"/>
      <c r="B14" s="50"/>
      <c r="C14" s="50"/>
      <c r="D14" s="50"/>
      <c r="E14" s="50"/>
      <c r="F14" s="50"/>
      <c r="G14" s="40"/>
    </row>
    <row r="15" spans="1:20">
      <c r="A15" s="22"/>
      <c r="B15" s="25"/>
    </row>
    <row r="16" spans="1:20">
      <c r="A16" s="22"/>
      <c r="B16" s="25"/>
      <c r="D16" s="55" t="str">
        <f>_xlfn.CONCAT("Annual (", annual_length," days)")</f>
        <v>Annual (194 days)</v>
      </c>
      <c r="E16" s="55"/>
      <c r="F16" s="55"/>
      <c r="G16" s="41"/>
      <c r="H16" s="21"/>
      <c r="I16" s="55" t="str">
        <f>_xlfn.CONCAT("Summer Term 2026 (", summer_term_length," days)")</f>
        <v>Summer Term 2026 (63 days)</v>
      </c>
      <c r="J16" s="55"/>
      <c r="K16" s="55"/>
      <c r="L16" s="41"/>
      <c r="M16" s="21"/>
      <c r="N16" s="55" t="str">
        <f>_xlfn.CONCAT("Autumn Term 2026 (", autumn_term_length," days)")</f>
        <v>Autumn Term 2026 (74 days)</v>
      </c>
      <c r="O16" s="55"/>
      <c r="P16" s="55"/>
      <c r="Q16" s="21"/>
      <c r="R16" s="55" t="str">
        <f>_xlfn.CONCAT("Spring Term 2027 (", spring_term_length," days)")</f>
        <v>Spring Term 2027 (57 days)</v>
      </c>
      <c r="S16" s="55"/>
      <c r="T16" s="55"/>
    </row>
    <row r="17" spans="1:20" ht="43.5">
      <c r="A17" s="53" t="s">
        <v>32</v>
      </c>
      <c r="B17" s="53"/>
      <c r="D17" s="35" t="s">
        <v>37</v>
      </c>
      <c r="E17" s="35" t="s">
        <v>38</v>
      </c>
      <c r="F17" s="35" t="s">
        <v>39</v>
      </c>
      <c r="G17" s="35" t="s">
        <v>40</v>
      </c>
      <c r="H17" s="21"/>
      <c r="I17" s="35" t="s">
        <v>37</v>
      </c>
      <c r="J17" s="35" t="s">
        <v>38</v>
      </c>
      <c r="K17" s="35" t="s">
        <v>39</v>
      </c>
      <c r="L17" s="35" t="s">
        <v>40</v>
      </c>
      <c r="M17" s="21"/>
      <c r="N17" s="35" t="s">
        <v>37</v>
      </c>
      <c r="O17" s="35" t="s">
        <v>38</v>
      </c>
      <c r="P17" s="35" t="s">
        <v>39</v>
      </c>
      <c r="Q17" s="21"/>
      <c r="R17" s="35" t="s">
        <v>37</v>
      </c>
      <c r="S17" s="35" t="s">
        <v>38</v>
      </c>
      <c r="T17" s="35" t="s">
        <v>39</v>
      </c>
    </row>
    <row r="18" spans="1:20">
      <c r="A18" s="52" t="str">
        <f>_xlfn.CONCAT("If approximately ", ABS(1-'lookups (to be hidden)'!H25)*100, "% fewer children than estimated attend (", 'lookups (to be hidden)'!I25, " pupils)")</f>
        <v>If approximately 20% fewer children than estimated attend (0 pupils)</v>
      </c>
      <c r="B18" s="52"/>
      <c r="C18" s="52"/>
      <c r="D18" s="36">
        <f>SUM(E18:G18)</f>
        <v>4850</v>
      </c>
      <c r="E18" s="36">
        <f t="shared" ref="E18:F22" si="0">SUM(J18,O18,S18)</f>
        <v>4850</v>
      </c>
      <c r="F18" s="36">
        <f t="shared" si="0"/>
        <v>0</v>
      </c>
      <c r="G18" s="36">
        <f>SUM(L18)</f>
        <v>0</v>
      </c>
      <c r="H18" s="21"/>
      <c r="I18" s="36">
        <f>SUM(J18:L18)</f>
        <v>1575</v>
      </c>
      <c r="J18" s="36">
        <f>IF(school_type_selection='lookups (to be hidden)'!$G$9, day_rate, special_ap_day_rate) *summer_term_length*aca_value</f>
        <v>1575</v>
      </c>
      <c r="K18" s="36">
        <f>IF(school_type_selection='lookups (to be hidden)'!$G$9, pup_per_day, special_ap_pup_per_day)*summer_term_length*'lookups (to be hidden)'!$I25*aca_value</f>
        <v>0</v>
      </c>
      <c r="L18" s="36">
        <f>IF(mainstream_ea_or_new_selection = 'lookups (to be hidden)'!$G$6, initial_set_up_cost, 0)</f>
        <v>0</v>
      </c>
      <c r="M18" s="21"/>
      <c r="N18" s="36">
        <f>SUM(O18:P18)</f>
        <v>1850</v>
      </c>
      <c r="O18" s="36">
        <f>IF(school_type_selection='lookups (to be hidden)'!$G$9, day_rate, special_ap_day_rate) *autumn_term_length*aca_value</f>
        <v>1850</v>
      </c>
      <c r="P18" s="36">
        <f>IF(school_type_selection='lookups (to be hidden)'!$G$9, pup_per_day, special_ap_pup_per_day)*autumn_term_length*'lookups (to be hidden)'!$I25*aca_value</f>
        <v>0</v>
      </c>
      <c r="Q18" s="21"/>
      <c r="R18" s="36">
        <f>SUM(S18:T18)</f>
        <v>1425</v>
      </c>
      <c r="S18" s="36">
        <f>IF(school_type_selection='lookups (to be hidden)'!$G$9, day_rate, special_ap_day_rate) *spring_term_length*aca_value</f>
        <v>1425</v>
      </c>
      <c r="T18" s="36">
        <f>IF(school_type_selection='lookups (to be hidden)'!$G$9, pup_per_day, special_ap_pup_per_day)*spring_term_length*'lookups (to be hidden)'!$I25*aca_value</f>
        <v>0</v>
      </c>
    </row>
    <row r="19" spans="1:20">
      <c r="A19" s="52" t="str">
        <f>_xlfn.CONCAT("If approximately ", ABS(1-'lookups (to be hidden)'!H26)*100, "% fewer children than estimated attend (", 'lookups (to be hidden)'!I26, " pupils)")</f>
        <v>If approximately 10% fewer children than estimated attend (0 pupils)</v>
      </c>
      <c r="B19" s="52"/>
      <c r="C19" s="52"/>
      <c r="D19" s="36">
        <f>SUM(E19:G19)</f>
        <v>4850</v>
      </c>
      <c r="E19" s="36">
        <f t="shared" si="0"/>
        <v>4850</v>
      </c>
      <c r="F19" s="36">
        <f t="shared" si="0"/>
        <v>0</v>
      </c>
      <c r="G19" s="36">
        <f>SUM(L19)</f>
        <v>0</v>
      </c>
      <c r="H19" s="21"/>
      <c r="I19" s="36">
        <f>SUM(J19:L19)</f>
        <v>1575</v>
      </c>
      <c r="J19" s="36">
        <f>IF(school_type_selection='lookups (to be hidden)'!$G$9, day_rate, special_ap_day_rate) *summer_term_length*aca_value</f>
        <v>1575</v>
      </c>
      <c r="K19" s="36">
        <f>IF(school_type_selection='lookups (to be hidden)'!$G$9, pup_per_day, special_ap_pup_per_day)*summer_term_length*'lookups (to be hidden)'!$I26*aca_value</f>
        <v>0</v>
      </c>
      <c r="L19" s="36">
        <f>IF(mainstream_ea_or_new_selection = 'lookups (to be hidden)'!$G$6, initial_set_up_cost, 0)</f>
        <v>0</v>
      </c>
      <c r="M19" s="21"/>
      <c r="N19" s="36">
        <f>SUM(O19:P19)</f>
        <v>1850</v>
      </c>
      <c r="O19" s="36">
        <f>IF(school_type_selection='lookups (to be hidden)'!$G$9, day_rate, special_ap_day_rate) *autumn_term_length*aca_value</f>
        <v>1850</v>
      </c>
      <c r="P19" s="36">
        <f>IF(school_type_selection='lookups (to be hidden)'!$G$9, pup_per_day, special_ap_pup_per_day)*autumn_term_length*'lookups (to be hidden)'!$I26*aca_value</f>
        <v>0</v>
      </c>
      <c r="Q19" s="21"/>
      <c r="R19" s="36">
        <f>SUM(S19:T19)</f>
        <v>1425</v>
      </c>
      <c r="S19" s="36">
        <f>IF(school_type_selection='lookups (to be hidden)'!$G$9, day_rate, special_ap_day_rate) *spring_term_length*aca_value</f>
        <v>1425</v>
      </c>
      <c r="T19" s="36">
        <f>IF(school_type_selection='lookups (to be hidden)'!$G$9, pup_per_day, special_ap_pup_per_day)*spring_term_length*'lookups (to be hidden)'!$I26*aca_value</f>
        <v>0</v>
      </c>
    </row>
    <row r="20" spans="1:20">
      <c r="A20" s="53" t="str">
        <f>_xlfn.CONCAT("If estimated number of children attend (", 'lookups (to be hidden)'!I27, " pupils)")</f>
        <v>If estimated number of children attend (0 pupils)</v>
      </c>
      <c r="B20" s="53"/>
      <c r="C20" s="53"/>
      <c r="D20" s="37">
        <f>SUM(E20:G20)</f>
        <v>4850</v>
      </c>
      <c r="E20" s="37">
        <f t="shared" si="0"/>
        <v>4850</v>
      </c>
      <c r="F20" s="37">
        <f t="shared" si="0"/>
        <v>0</v>
      </c>
      <c r="G20" s="37">
        <f>SUM(L20)</f>
        <v>0</v>
      </c>
      <c r="H20" s="4"/>
      <c r="I20" s="37">
        <f>SUM(J20:L20)</f>
        <v>1575</v>
      </c>
      <c r="J20" s="37">
        <f>IF(school_type_selection='lookups (to be hidden)'!$G$9, day_rate, special_ap_day_rate) *summer_term_length*aca_value</f>
        <v>1575</v>
      </c>
      <c r="K20" s="37">
        <f>IF(school_type_selection='lookups (to be hidden)'!$G$9, pup_per_day, special_ap_pup_per_day)*summer_term_length*'lookups (to be hidden)'!$I27*aca_value</f>
        <v>0</v>
      </c>
      <c r="L20" s="37">
        <f>IF(mainstream_ea_or_new_selection = 'lookups (to be hidden)'!$G$6, initial_set_up_cost, 0)</f>
        <v>0</v>
      </c>
      <c r="M20" s="4"/>
      <c r="N20" s="37">
        <f>SUM(O20:P20)</f>
        <v>1850</v>
      </c>
      <c r="O20" s="37">
        <f>IF(school_type_selection='lookups (to be hidden)'!$G$9, day_rate, special_ap_day_rate) *autumn_term_length*aca_value</f>
        <v>1850</v>
      </c>
      <c r="P20" s="37">
        <f>IF(school_type_selection='lookups (to be hidden)'!$G$9, pup_per_day, special_ap_pup_per_day)*autumn_term_length*'lookups (to be hidden)'!$I27*aca_value</f>
        <v>0</v>
      </c>
      <c r="Q20" s="4"/>
      <c r="R20" s="37">
        <f>SUM(S20:T20)</f>
        <v>1425</v>
      </c>
      <c r="S20" s="37">
        <f>IF(school_type_selection='lookups (to be hidden)'!$G$9, day_rate, special_ap_day_rate) *spring_term_length*aca_value</f>
        <v>1425</v>
      </c>
      <c r="T20" s="37">
        <f>IF(school_type_selection='lookups (to be hidden)'!$G$9, pup_per_day, special_ap_pup_per_day)*spring_term_length*'lookups (to be hidden)'!$I27*aca_value</f>
        <v>0</v>
      </c>
    </row>
    <row r="21" spans="1:20">
      <c r="A21" s="52" t="str">
        <f>_xlfn.CONCAT("If approximately ", ABS(1-'lookups (to be hidden)'!H28)*100, "% more children than estimated attend (", 'lookups (to be hidden)'!I28, " pupils)")</f>
        <v>If approximately 10% more children than estimated attend (0 pupils)</v>
      </c>
      <c r="B21" s="52"/>
      <c r="C21" s="52"/>
      <c r="D21" s="36">
        <f>SUM(E21:G21)</f>
        <v>4850</v>
      </c>
      <c r="E21" s="36">
        <f t="shared" si="0"/>
        <v>4850</v>
      </c>
      <c r="F21" s="36">
        <f t="shared" si="0"/>
        <v>0</v>
      </c>
      <c r="G21" s="36">
        <f>SUM(L21)</f>
        <v>0</v>
      </c>
      <c r="H21" s="21"/>
      <c r="I21" s="36">
        <f>SUM(J21:L21)</f>
        <v>1575</v>
      </c>
      <c r="J21" s="36">
        <f>IF(school_type_selection='lookups (to be hidden)'!$G$9, day_rate, special_ap_day_rate) *summer_term_length*aca_value</f>
        <v>1575</v>
      </c>
      <c r="K21" s="36">
        <f>IF(school_type_selection='lookups (to be hidden)'!$G$9, pup_per_day, special_ap_pup_per_day)*summer_term_length*'lookups (to be hidden)'!$I28*aca_value</f>
        <v>0</v>
      </c>
      <c r="L21" s="36">
        <f>IF(mainstream_ea_or_new_selection = 'lookups (to be hidden)'!$G$6, initial_set_up_cost, 0)</f>
        <v>0</v>
      </c>
      <c r="M21" s="21"/>
      <c r="N21" s="36">
        <f>SUM(O21:P21)</f>
        <v>1850</v>
      </c>
      <c r="O21" s="36">
        <f>IF(school_type_selection='lookups (to be hidden)'!$G$9, day_rate, special_ap_day_rate) *autumn_term_length*aca_value</f>
        <v>1850</v>
      </c>
      <c r="P21" s="36">
        <f>IF(school_type_selection='lookups (to be hidden)'!$G$9, pup_per_day, special_ap_pup_per_day)*autumn_term_length*'lookups (to be hidden)'!$I28*aca_value</f>
        <v>0</v>
      </c>
      <c r="Q21" s="21"/>
      <c r="R21" s="36">
        <f>SUM(S21:T21)</f>
        <v>1425</v>
      </c>
      <c r="S21" s="36">
        <f>IF(school_type_selection='lookups (to be hidden)'!$G$9, day_rate, special_ap_day_rate) *spring_term_length*aca_value</f>
        <v>1425</v>
      </c>
      <c r="T21" s="36">
        <f>IF(school_type_selection='lookups (to be hidden)'!$G$9, pup_per_day, special_ap_pup_per_day)*spring_term_length*'lookups (to be hidden)'!$I28*aca_value</f>
        <v>0</v>
      </c>
    </row>
    <row r="22" spans="1:20">
      <c r="A22" s="52" t="str">
        <f>_xlfn.CONCAT("If approximately ", ABS(1-'lookups (to be hidden)'!H29)*100, "% more children than estimated attend (", 'lookups (to be hidden)'!I29, " pupils)")</f>
        <v>If approximately 20% more children than estimated attend (0 pupils)</v>
      </c>
      <c r="B22" s="52"/>
      <c r="C22" s="52"/>
      <c r="D22" s="36">
        <f>SUM(E22:G22)</f>
        <v>4850</v>
      </c>
      <c r="E22" s="36">
        <f t="shared" si="0"/>
        <v>4850</v>
      </c>
      <c r="F22" s="36">
        <f t="shared" si="0"/>
        <v>0</v>
      </c>
      <c r="G22" s="36">
        <f>SUM(L22)</f>
        <v>0</v>
      </c>
      <c r="H22" s="21"/>
      <c r="I22" s="36">
        <f>SUM(J22:L22)</f>
        <v>1575</v>
      </c>
      <c r="J22" s="36">
        <f>IF(school_type_selection='lookups (to be hidden)'!$G$9, day_rate, special_ap_day_rate) *summer_term_length*aca_value</f>
        <v>1575</v>
      </c>
      <c r="K22" s="36">
        <f>IF(school_type_selection='lookups (to be hidden)'!$G$9, pup_per_day, special_ap_pup_per_day)*summer_term_length*'lookups (to be hidden)'!$I29*aca_value</f>
        <v>0</v>
      </c>
      <c r="L22" s="36">
        <f>IF(mainstream_ea_or_new_selection = 'lookups (to be hidden)'!$G$6, initial_set_up_cost, 0)</f>
        <v>0</v>
      </c>
      <c r="M22" s="21"/>
      <c r="N22" s="36">
        <f>SUM(O22:P22)</f>
        <v>1850</v>
      </c>
      <c r="O22" s="36">
        <f>IF(school_type_selection='lookups (to be hidden)'!$G$9, day_rate, special_ap_day_rate) *autumn_term_length*aca_value</f>
        <v>1850</v>
      </c>
      <c r="P22" s="36">
        <f>IF(school_type_selection='lookups (to be hidden)'!$G$9, pup_per_day, special_ap_pup_per_day)*autumn_term_length*'lookups (to be hidden)'!$I29*aca_value</f>
        <v>0</v>
      </c>
      <c r="Q22" s="21"/>
      <c r="R22" s="36">
        <f>SUM(S22:T22)</f>
        <v>1425</v>
      </c>
      <c r="S22" s="36">
        <f>IF(school_type_selection='lookups (to be hidden)'!$G$9, day_rate, special_ap_day_rate) *spring_term_length*aca_value</f>
        <v>1425</v>
      </c>
      <c r="T22" s="36">
        <f>IF(school_type_selection='lookups (to be hidden)'!$G$9, pup_per_day, special_ap_pup_per_day)*spring_term_length*'lookups (to be hidden)'!$I29*aca_value</f>
        <v>0</v>
      </c>
    </row>
  </sheetData>
  <sheetProtection sheet="1" selectLockedCells="1"/>
  <mergeCells count="11">
    <mergeCell ref="A19:C19"/>
    <mergeCell ref="A20:C20"/>
    <mergeCell ref="A21:C21"/>
    <mergeCell ref="A22:C22"/>
    <mergeCell ref="A17:B17"/>
    <mergeCell ref="A18:C18"/>
    <mergeCell ref="A13:F14"/>
    <mergeCell ref="D16:F16"/>
    <mergeCell ref="I16:K16"/>
    <mergeCell ref="N16:P16"/>
    <mergeCell ref="R16:T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1370-428E-4539-994C-552C11FEC623}">
  <dimension ref="A1:W29"/>
  <sheetViews>
    <sheetView workbookViewId="0">
      <selection activeCell="B6" sqref="B6"/>
    </sheetView>
  </sheetViews>
  <sheetFormatPr defaultColWidth="9.140625" defaultRowHeight="14.45"/>
  <cols>
    <col min="1" max="1" width="39.28515625" style="1" bestFit="1" customWidth="1"/>
    <col min="2" max="2" width="35.85546875" style="22" bestFit="1" customWidth="1"/>
    <col min="3" max="7" width="12.5703125" style="1" customWidth="1"/>
    <col min="8" max="8" width="2.85546875" style="1" customWidth="1"/>
    <col min="9" max="12" width="12.5703125" style="1" customWidth="1"/>
    <col min="13" max="13" width="2.85546875" style="1" customWidth="1"/>
    <col min="14" max="17" width="12.5703125" style="1" customWidth="1"/>
    <col min="18" max="18" width="2.85546875" style="1" customWidth="1"/>
    <col min="19" max="22" width="12.5703125" style="1" customWidth="1"/>
    <col min="23" max="16384" width="9.140625" style="1"/>
  </cols>
  <sheetData>
    <row r="1" spans="1:3" ht="26.1">
      <c r="A1" s="31" t="s">
        <v>41</v>
      </c>
    </row>
    <row r="3" spans="1:3" ht="21">
      <c r="A3" s="32" t="s">
        <v>15</v>
      </c>
      <c r="B3" s="30"/>
    </row>
    <row r="4" spans="1:3" ht="6" customHeight="1"/>
    <row r="5" spans="1:3">
      <c r="A5" s="22" t="s">
        <v>42</v>
      </c>
      <c r="B5" s="22" t="s">
        <v>43</v>
      </c>
    </row>
    <row r="6" spans="1:3">
      <c r="A6" s="22" t="s">
        <v>44</v>
      </c>
      <c r="B6" s="42"/>
      <c r="C6" s="28" t="s">
        <v>19</v>
      </c>
    </row>
    <row r="7" spans="1:3">
      <c r="A7" s="22" t="s">
        <v>45</v>
      </c>
      <c r="B7" s="42"/>
      <c r="C7" s="28" t="s">
        <v>21</v>
      </c>
    </row>
    <row r="8" spans="1:3">
      <c r="A8" s="22" t="s">
        <v>12</v>
      </c>
      <c r="B8" s="26">
        <f>_xlfn.IFNA(INDEX(aca_table,MATCH(special_ap_la_selection,INDEX(aca_table,,1),0),MATCH(B5,INDEX(aca_table,1,),0)), 1)</f>
        <v>1</v>
      </c>
    </row>
    <row r="9" spans="1:3">
      <c r="A9" s="22" t="s">
        <v>23</v>
      </c>
      <c r="B9" s="43"/>
      <c r="C9" s="28" t="s">
        <v>24</v>
      </c>
    </row>
    <row r="10" spans="1:3">
      <c r="A10" s="22"/>
      <c r="B10" s="26"/>
    </row>
    <row r="11" spans="1:3" ht="21">
      <c r="A11" s="32" t="s">
        <v>25</v>
      </c>
      <c r="B11" s="29"/>
    </row>
    <row r="12" spans="1:3" ht="6" customHeight="1"/>
    <row r="13" spans="1:3" ht="15.95">
      <c r="A13" s="33" t="s">
        <v>26</v>
      </c>
      <c r="B13" s="34">
        <f>'special &amp; AP termly breakdown'!D20</f>
        <v>3676.2999999999993</v>
      </c>
    </row>
    <row r="14" spans="1:3">
      <c r="A14" s="22" t="s">
        <v>27</v>
      </c>
      <c r="B14" s="25">
        <f>'special &amp; AP termly breakdown'!I20</f>
        <v>1193.8499999999999</v>
      </c>
    </row>
    <row r="15" spans="1:3">
      <c r="A15" s="22" t="s">
        <v>28</v>
      </c>
      <c r="B15" s="25">
        <f>'special &amp; AP termly breakdown'!N20</f>
        <v>1402.3</v>
      </c>
    </row>
    <row r="16" spans="1:3">
      <c r="A16" s="22" t="s">
        <v>29</v>
      </c>
      <c r="B16" s="25">
        <f>'special &amp; AP termly breakdown'!R20</f>
        <v>1080.1499999999999</v>
      </c>
    </row>
    <row r="17" spans="1:23">
      <c r="A17" s="22"/>
      <c r="B17" s="25"/>
    </row>
    <row r="18" spans="1:23">
      <c r="W18" s="3"/>
    </row>
    <row r="20" spans="1:23" ht="21">
      <c r="A20" s="54" t="s">
        <v>30</v>
      </c>
      <c r="B20" s="54"/>
    </row>
    <row r="21" spans="1:23" s="2" customFormat="1" ht="6" customHeight="1">
      <c r="B21" s="27"/>
    </row>
    <row r="22" spans="1:23">
      <c r="A22" s="1" t="s">
        <v>31</v>
      </c>
    </row>
    <row r="24" spans="1:23">
      <c r="A24" s="53" t="s">
        <v>46</v>
      </c>
      <c r="B24" s="53"/>
      <c r="C24" s="24" t="s">
        <v>33</v>
      </c>
    </row>
    <row r="25" spans="1:23">
      <c r="A25" s="52" t="str">
        <f>_xlfn.CONCAT("If approximatley ", ABS(1-'lookups (to be hidden)'!H25)*100, "% fewer children than estimated attend (", 'lookups (to be hidden)'!J25, " pupils)")</f>
        <v>If approximatley 20% fewer children than estimated attend (0 pupils)</v>
      </c>
      <c r="B25" s="52"/>
      <c r="C25" s="3">
        <f>'special &amp; AP termly breakdown'!D18</f>
        <v>3676.2999999999993</v>
      </c>
    </row>
    <row r="26" spans="1:23">
      <c r="A26" s="52" t="str">
        <f>_xlfn.CONCAT("If approximatley ", ABS(1-'lookups (to be hidden)'!H26)*100, "% fewer children than estimated attend (", 'lookups (to be hidden)'!J26, " pupils)")</f>
        <v>If approximatley 10% fewer children than estimated attend (0 pupils)</v>
      </c>
      <c r="B26" s="52"/>
      <c r="C26" s="3">
        <f>'special &amp; AP termly breakdown'!D19</f>
        <v>3676.2999999999993</v>
      </c>
    </row>
    <row r="27" spans="1:23">
      <c r="A27" s="52" t="str">
        <f>_xlfn.CONCAT("If estimated number of children attend (", 'lookups (to be hidden)'!J27, " pupils)")</f>
        <v>If estimated number of children attend (0 pupils)</v>
      </c>
      <c r="B27" s="52"/>
      <c r="C27" s="3">
        <f>'special &amp; AP termly breakdown'!D20</f>
        <v>3676.2999999999993</v>
      </c>
    </row>
    <row r="28" spans="1:23">
      <c r="A28" s="52" t="str">
        <f>_xlfn.CONCAT("If approximately ", ABS(1-'lookups (to be hidden)'!H28)*100, "% more children than estimated attend (", 'lookups (to be hidden)'!J28, " pupils)")</f>
        <v>If approximately 10% more children than estimated attend (0 pupils)</v>
      </c>
      <c r="B28" s="52"/>
      <c r="C28" s="3">
        <f>'special &amp; AP termly breakdown'!D21</f>
        <v>3676.2999999999993</v>
      </c>
    </row>
    <row r="29" spans="1:23">
      <c r="A29" s="52" t="str">
        <f>_xlfn.CONCAT("If approximately ", ABS(1-'lookups (to be hidden)'!H29)*100, "% more children than estimated attend (", 'lookups (to be hidden)'!J29, " pupils)")</f>
        <v>If approximately 20% more children than estimated attend (0 pupils)</v>
      </c>
      <c r="B29" s="52"/>
      <c r="C29" s="3">
        <f>'special &amp; AP termly breakdown'!D22</f>
        <v>3676.2999999999993</v>
      </c>
    </row>
  </sheetData>
  <sheetProtection algorithmName="SHA-512" hashValue="W/7x3spRJ7K0YVEv86sG2CQSo1lJzzCOV6uzZ8phpbvz8g/TV84J7wvJ3Nv3h7qTbmFSMAwVzIr00ijSt5oyjw==" saltValue="HVaNrv0cGLN8s5oOztOa0A==" spinCount="100000" sheet="1" objects="1" scenarios="1" selectLockedCells="1"/>
  <mergeCells count="7">
    <mergeCell ref="A28:B28"/>
    <mergeCell ref="A29:B29"/>
    <mergeCell ref="A20:B20"/>
    <mergeCell ref="A24:B24"/>
    <mergeCell ref="A25:B25"/>
    <mergeCell ref="A26:B26"/>
    <mergeCell ref="A27:B27"/>
  </mergeCells>
  <dataValidations count="3">
    <dataValidation type="list" allowBlank="1" showInputMessage="1" showErrorMessage="1" sqref="B5" xr:uid="{1A3C434E-0907-4B4F-BA91-6B63EF483965}">
      <formula1>school_type</formula1>
    </dataValidation>
    <dataValidation type="list" allowBlank="1" showInputMessage="1" showErrorMessage="1" sqref="B7" xr:uid="{03B024BF-9BC9-4532-9037-A82D8DFF39DF}">
      <formula1>local_authorities</formula1>
    </dataValidation>
    <dataValidation type="list" allowBlank="1" showInputMessage="1" showErrorMessage="1" sqref="B9" xr:uid="{541AAE7F-D1D4-4D2E-B2D6-1C8865CACBC4}">
      <formula1>ea_or_new</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A142-61ED-4233-ABFB-E6994A152AE3}">
  <dimension ref="A1:T22"/>
  <sheetViews>
    <sheetView workbookViewId="0"/>
  </sheetViews>
  <sheetFormatPr defaultColWidth="9.140625" defaultRowHeight="14.45"/>
  <cols>
    <col min="1" max="1" width="39.28515625" style="1" customWidth="1"/>
    <col min="2" max="2" width="35.85546875" style="22" bestFit="1" customWidth="1"/>
    <col min="3" max="3" width="12.5703125" style="1" customWidth="1"/>
    <col min="4" max="7" width="18.42578125" style="1" customWidth="1"/>
    <col min="8" max="8" width="1" style="1" customWidth="1"/>
    <col min="9" max="12" width="18.42578125" style="1" customWidth="1"/>
    <col min="13" max="13" width="1" style="1" customWidth="1"/>
    <col min="14" max="16" width="18.42578125" style="1" customWidth="1"/>
    <col min="17" max="17" width="1" style="1" customWidth="1"/>
    <col min="18" max="20" width="18.42578125" style="1" customWidth="1"/>
    <col min="21" max="16384" width="9.140625" style="1"/>
  </cols>
  <sheetData>
    <row r="1" spans="1:20" ht="26.1">
      <c r="A1" s="31" t="s">
        <v>41</v>
      </c>
    </row>
    <row r="3" spans="1:20" ht="21">
      <c r="A3" s="32" t="s">
        <v>15</v>
      </c>
      <c r="B3" s="30"/>
    </row>
    <row r="4" spans="1:20" ht="6" customHeight="1"/>
    <row r="5" spans="1:20">
      <c r="A5" s="22" t="s">
        <v>16</v>
      </c>
      <c r="B5" s="22" t="str">
        <f>'special &amp; AP overview'!B5</f>
        <v>Special or AP</v>
      </c>
    </row>
    <row r="6" spans="1:20">
      <c r="A6" s="22" t="s">
        <v>18</v>
      </c>
      <c r="B6" s="22">
        <f>'special &amp; AP overview'!B6</f>
        <v>0</v>
      </c>
      <c r="C6" s="28" t="s">
        <v>47</v>
      </c>
    </row>
    <row r="7" spans="1:20">
      <c r="A7" s="22" t="s">
        <v>20</v>
      </c>
      <c r="B7" s="22" t="str">
        <f>IF('special &amp; AP overview'!B7="", "", 'special &amp; AP overview'!B7)</f>
        <v/>
      </c>
      <c r="C7" s="28" t="s">
        <v>47</v>
      </c>
    </row>
    <row r="8" spans="1:20">
      <c r="A8" s="22" t="s">
        <v>22</v>
      </c>
      <c r="B8" s="26">
        <f>'special &amp; AP overview'!B8</f>
        <v>1</v>
      </c>
    </row>
    <row r="9" spans="1:20">
      <c r="A9" s="22" t="s">
        <v>23</v>
      </c>
      <c r="B9" s="26" t="str">
        <f>IF(special_ap_ea_or_new_selection="", "", special_ap_ea_or_new_selection)</f>
        <v/>
      </c>
      <c r="C9" s="28" t="s">
        <v>47</v>
      </c>
    </row>
    <row r="10" spans="1:20">
      <c r="A10" s="22"/>
      <c r="B10" s="26"/>
    </row>
    <row r="11" spans="1:20" ht="21">
      <c r="A11" s="32" t="s">
        <v>35</v>
      </c>
      <c r="B11" s="29"/>
    </row>
    <row r="12" spans="1:20" ht="6" customHeight="1"/>
    <row r="13" spans="1:20">
      <c r="A13" s="50" t="s">
        <v>36</v>
      </c>
      <c r="B13" s="50"/>
      <c r="C13" s="50"/>
      <c r="D13" s="50"/>
      <c r="E13" s="50"/>
      <c r="F13" s="50"/>
      <c r="G13" s="40"/>
    </row>
    <row r="14" spans="1:20">
      <c r="A14" s="50"/>
      <c r="B14" s="50"/>
      <c r="C14" s="50"/>
      <c r="D14" s="50"/>
      <c r="E14" s="50"/>
      <c r="F14" s="50"/>
      <c r="G14" s="40"/>
    </row>
    <row r="15" spans="1:20">
      <c r="A15" s="22"/>
      <c r="B15" s="25"/>
    </row>
    <row r="16" spans="1:20">
      <c r="A16" s="22"/>
      <c r="B16" s="25"/>
      <c r="D16" s="55" t="str">
        <f>_xlfn.CONCAT("Annual (", annual_length," days)")</f>
        <v>Annual (194 days)</v>
      </c>
      <c r="E16" s="55"/>
      <c r="F16" s="55"/>
      <c r="G16" s="41"/>
      <c r="H16" s="21"/>
      <c r="I16" s="55" t="str">
        <f>_xlfn.CONCAT("Summer Term 2026 (", summer_term_length," days)")</f>
        <v>Summer Term 2026 (63 days)</v>
      </c>
      <c r="J16" s="55"/>
      <c r="K16" s="55"/>
      <c r="L16" s="41"/>
      <c r="M16" s="21"/>
      <c r="N16" s="55" t="str">
        <f>_xlfn.CONCAT("Autumn Term 2026 (", autumn_term_length," days)")</f>
        <v>Autumn Term 2026 (74 days)</v>
      </c>
      <c r="O16" s="55"/>
      <c r="P16" s="55"/>
      <c r="Q16" s="21"/>
      <c r="R16" s="55" t="str">
        <f>_xlfn.CONCAT("Spring Term 2027 (", spring_term_length," days)")</f>
        <v>Spring Term 2027 (57 days)</v>
      </c>
      <c r="S16" s="55"/>
      <c r="T16" s="55"/>
    </row>
    <row r="17" spans="1:20" ht="43.5">
      <c r="A17" s="53" t="s">
        <v>46</v>
      </c>
      <c r="B17" s="53"/>
      <c r="D17" s="35" t="s">
        <v>37</v>
      </c>
      <c r="E17" s="35" t="s">
        <v>38</v>
      </c>
      <c r="F17" s="35" t="s">
        <v>39</v>
      </c>
      <c r="G17" s="35" t="s">
        <v>40</v>
      </c>
      <c r="H17" s="21"/>
      <c r="I17" s="35" t="s">
        <v>37</v>
      </c>
      <c r="J17" s="35" t="s">
        <v>38</v>
      </c>
      <c r="K17" s="35" t="s">
        <v>39</v>
      </c>
      <c r="L17" s="35" t="s">
        <v>40</v>
      </c>
      <c r="M17" s="21"/>
      <c r="N17" s="35" t="s">
        <v>37</v>
      </c>
      <c r="O17" s="35" t="s">
        <v>38</v>
      </c>
      <c r="P17" s="35" t="s">
        <v>39</v>
      </c>
      <c r="Q17" s="21"/>
      <c r="R17" s="35" t="s">
        <v>37</v>
      </c>
      <c r="S17" s="35" t="s">
        <v>38</v>
      </c>
      <c r="T17" s="35" t="s">
        <v>39</v>
      </c>
    </row>
    <row r="18" spans="1:20">
      <c r="A18" s="52" t="str">
        <f>_xlfn.CONCAT("If approximately ", ABS(1-'lookups (to be hidden)'!H25)*100, "% fewer children than estimated attend (", 'lookups (to be hidden)'!J25, " pupils)")</f>
        <v>If approximately 20% fewer children than estimated attend (0 pupils)</v>
      </c>
      <c r="B18" s="52"/>
      <c r="C18" s="52"/>
      <c r="D18" s="36">
        <f>SUM(E18:G18)</f>
        <v>3676.2999999999993</v>
      </c>
      <c r="E18" s="36">
        <f t="shared" ref="E18:F22" si="0">SUM(J18,O18,S18)</f>
        <v>3676.2999999999993</v>
      </c>
      <c r="F18" s="36">
        <f t="shared" si="0"/>
        <v>0</v>
      </c>
      <c r="G18" s="36">
        <f>SUM(L18)</f>
        <v>0</v>
      </c>
      <c r="H18" s="21"/>
      <c r="I18" s="36">
        <f>SUM(J18:L18)</f>
        <v>1193.8499999999999</v>
      </c>
      <c r="J18" s="36">
        <f>IF(school_type_selection_special_ap='lookups (to be hidden)'!$G$9, day_rate, special_ap_day_rate) *summer_term_length*aca_value_special_ap</f>
        <v>1193.8499999999999</v>
      </c>
      <c r="K18" s="36">
        <f>IF(school_type_selection_special_ap='lookups (to be hidden)'!$G$9, pup_per_day, special_ap_pup_per_day)*summer_term_length*'lookups (to be hidden)'!$J25*aca_value_special_ap</f>
        <v>0</v>
      </c>
      <c r="L18" s="36">
        <f>IF(special_ap_ea_or_new_selection = 'lookups (to be hidden)'!$G$6, initial_set_up_cost, 0)</f>
        <v>0</v>
      </c>
      <c r="M18" s="21"/>
      <c r="N18" s="36">
        <f>SUM(O18:P18)</f>
        <v>1402.3</v>
      </c>
      <c r="O18" s="36">
        <f>IF(school_type_selection_special_ap='lookups (to be hidden)'!$G$9, day_rate, special_ap_day_rate) *autumn_term_length*aca_value_special_ap</f>
        <v>1402.3</v>
      </c>
      <c r="P18" s="36">
        <f>IF(school_type_selection_special_ap='lookups (to be hidden)'!$G$9, pup_per_day, special_ap_pup_per_day)*autumn_term_length*'lookups (to be hidden)'!$J25*aca_value_special_ap</f>
        <v>0</v>
      </c>
      <c r="Q18" s="21"/>
      <c r="R18" s="36">
        <f>SUM(S18:T18)</f>
        <v>1080.1499999999999</v>
      </c>
      <c r="S18" s="36">
        <f>IF(school_type_selection_special_ap='lookups (to be hidden)'!$G$9, day_rate, special_ap_day_rate) *spring_term_length*aca_value_special_ap</f>
        <v>1080.1499999999999</v>
      </c>
      <c r="T18" s="36">
        <f>IF(school_type_selection_special_ap='lookups (to be hidden)'!$G$9, pup_per_day, special_ap_pup_per_day)*spring_term_length*'lookups (to be hidden)'!$J25*aca_value_special_ap</f>
        <v>0</v>
      </c>
    </row>
    <row r="19" spans="1:20">
      <c r="A19" s="52" t="str">
        <f>_xlfn.CONCAT("If approximately ", ABS(1-'lookups (to be hidden)'!H26)*100, "% fewer children than estimated attend (", 'lookups (to be hidden)'!J26, " pupils)")</f>
        <v>If approximately 10% fewer children than estimated attend (0 pupils)</v>
      </c>
      <c r="B19" s="52"/>
      <c r="C19" s="52"/>
      <c r="D19" s="36">
        <f>SUM(E19:G19)</f>
        <v>3676.2999999999993</v>
      </c>
      <c r="E19" s="36">
        <f t="shared" si="0"/>
        <v>3676.2999999999993</v>
      </c>
      <c r="F19" s="36">
        <f t="shared" si="0"/>
        <v>0</v>
      </c>
      <c r="G19" s="36">
        <f t="shared" ref="G19:G22" si="1">SUM(L19)</f>
        <v>0</v>
      </c>
      <c r="H19" s="21"/>
      <c r="I19" s="36">
        <f t="shared" ref="I19:I22" si="2">SUM(J19:L19)</f>
        <v>1193.8499999999999</v>
      </c>
      <c r="J19" s="36">
        <f>IF(school_type_selection_special_ap='lookups (to be hidden)'!$G$9, day_rate, special_ap_day_rate) *summer_term_length*aca_value_special_ap</f>
        <v>1193.8499999999999</v>
      </c>
      <c r="K19" s="36">
        <f>IF(school_type_selection_special_ap='lookups (to be hidden)'!$G$9, pup_per_day, special_ap_pup_per_day)*summer_term_length*'lookups (to be hidden)'!$J26*aca_value_special_ap</f>
        <v>0</v>
      </c>
      <c r="L19" s="36">
        <f>IF(special_ap_ea_or_new_selection = 'lookups (to be hidden)'!$G$6, initial_set_up_cost, 0)</f>
        <v>0</v>
      </c>
      <c r="M19" s="21"/>
      <c r="N19" s="36">
        <f>SUM(O19:P19)</f>
        <v>1402.3</v>
      </c>
      <c r="O19" s="36">
        <f>IF(school_type_selection_special_ap='lookups (to be hidden)'!$G$9, day_rate, special_ap_day_rate) *autumn_term_length*aca_value_special_ap</f>
        <v>1402.3</v>
      </c>
      <c r="P19" s="36">
        <f>IF(school_type_selection_special_ap='lookups (to be hidden)'!$G$9, pup_per_day, special_ap_pup_per_day)*autumn_term_length*'lookups (to be hidden)'!$J26*aca_value_special_ap</f>
        <v>0</v>
      </c>
      <c r="Q19" s="21"/>
      <c r="R19" s="36">
        <f>SUM(S19:T19)</f>
        <v>1080.1499999999999</v>
      </c>
      <c r="S19" s="36">
        <f>IF(school_type_selection_special_ap='lookups (to be hidden)'!$G$9, day_rate, special_ap_day_rate) *spring_term_length*aca_value_special_ap</f>
        <v>1080.1499999999999</v>
      </c>
      <c r="T19" s="36">
        <f>IF(school_type_selection_special_ap='lookups (to be hidden)'!$G$9, pup_per_day, special_ap_pup_per_day)*spring_term_length*'lookups (to be hidden)'!$J26*aca_value_special_ap</f>
        <v>0</v>
      </c>
    </row>
    <row r="20" spans="1:20">
      <c r="A20" s="53" t="str">
        <f>_xlfn.CONCAT("If estimated number of children attend (", 'lookups (to be hidden)'!J27, " pupils)")</f>
        <v>If estimated number of children attend (0 pupils)</v>
      </c>
      <c r="B20" s="53"/>
      <c r="C20" s="53"/>
      <c r="D20" s="37">
        <f>SUM(E20:G20)</f>
        <v>3676.2999999999993</v>
      </c>
      <c r="E20" s="37">
        <f t="shared" si="0"/>
        <v>3676.2999999999993</v>
      </c>
      <c r="F20" s="37">
        <f t="shared" si="0"/>
        <v>0</v>
      </c>
      <c r="G20" s="37">
        <f t="shared" si="1"/>
        <v>0</v>
      </c>
      <c r="H20" s="4"/>
      <c r="I20" s="37">
        <f t="shared" si="2"/>
        <v>1193.8499999999999</v>
      </c>
      <c r="J20" s="37">
        <f>IF(school_type_selection_special_ap='lookups (to be hidden)'!$G$9, day_rate, special_ap_day_rate) *summer_term_length*aca_value_special_ap</f>
        <v>1193.8499999999999</v>
      </c>
      <c r="K20" s="37">
        <f>IF(school_type_selection_special_ap='lookups (to be hidden)'!$G$9, pup_per_day, special_ap_pup_per_day)*summer_term_length*'lookups (to be hidden)'!$J27*aca_value_special_ap</f>
        <v>0</v>
      </c>
      <c r="L20" s="37">
        <f>IF(special_ap_ea_or_new_selection = 'lookups (to be hidden)'!$G$6, initial_set_up_cost, 0)</f>
        <v>0</v>
      </c>
      <c r="M20" s="4"/>
      <c r="N20" s="37">
        <f>SUM(O20:P20)</f>
        <v>1402.3</v>
      </c>
      <c r="O20" s="37">
        <f>IF(school_type_selection_special_ap='lookups (to be hidden)'!$G$9, day_rate, special_ap_day_rate) *autumn_term_length*aca_value_special_ap</f>
        <v>1402.3</v>
      </c>
      <c r="P20" s="37">
        <f>IF(school_type_selection_special_ap='lookups (to be hidden)'!$G$9, pup_per_day, special_ap_pup_per_day)*autumn_term_length*'lookups (to be hidden)'!$J27*aca_value_special_ap</f>
        <v>0</v>
      </c>
      <c r="Q20" s="4"/>
      <c r="R20" s="37">
        <f>SUM(S20:T20)</f>
        <v>1080.1499999999999</v>
      </c>
      <c r="S20" s="37">
        <f>IF(school_type_selection_special_ap='lookups (to be hidden)'!$G$9, day_rate, special_ap_day_rate) *spring_term_length*aca_value_special_ap</f>
        <v>1080.1499999999999</v>
      </c>
      <c r="T20" s="37">
        <f>IF(school_type_selection_special_ap='lookups (to be hidden)'!$G$9, pup_per_day, special_ap_pup_per_day)*spring_term_length*'lookups (to be hidden)'!$J27*aca_value_special_ap</f>
        <v>0</v>
      </c>
    </row>
    <row r="21" spans="1:20">
      <c r="A21" s="52" t="str">
        <f>_xlfn.CONCAT("If approximately ", ABS(1-'lookups (to be hidden)'!H28)*100, "% more children than estimated attend (", 'lookups (to be hidden)'!J28, " pupils)")</f>
        <v>If approximately 10% more children than estimated attend (0 pupils)</v>
      </c>
      <c r="B21" s="52"/>
      <c r="C21" s="52"/>
      <c r="D21" s="36">
        <f>SUM(E21:G21)</f>
        <v>3676.2999999999993</v>
      </c>
      <c r="E21" s="36">
        <f t="shared" si="0"/>
        <v>3676.2999999999993</v>
      </c>
      <c r="F21" s="36">
        <f t="shared" si="0"/>
        <v>0</v>
      </c>
      <c r="G21" s="36">
        <f t="shared" si="1"/>
        <v>0</v>
      </c>
      <c r="H21" s="21"/>
      <c r="I21" s="36">
        <f t="shared" si="2"/>
        <v>1193.8499999999999</v>
      </c>
      <c r="J21" s="36">
        <f>IF(school_type_selection_special_ap='lookups (to be hidden)'!$G$9, day_rate, special_ap_day_rate) *summer_term_length*aca_value_special_ap</f>
        <v>1193.8499999999999</v>
      </c>
      <c r="K21" s="36">
        <f>IF(school_type_selection_special_ap='lookups (to be hidden)'!$G$9, pup_per_day, special_ap_pup_per_day)*summer_term_length*'lookups (to be hidden)'!$J28*aca_value_special_ap</f>
        <v>0</v>
      </c>
      <c r="L21" s="36">
        <f>IF(special_ap_ea_or_new_selection = 'lookups (to be hidden)'!$G$6, initial_set_up_cost, 0)</f>
        <v>0</v>
      </c>
      <c r="M21" s="21"/>
      <c r="N21" s="36">
        <f>SUM(O21:P21)</f>
        <v>1402.3</v>
      </c>
      <c r="O21" s="36">
        <f>IF(school_type_selection_special_ap='lookups (to be hidden)'!$G$9, day_rate, special_ap_day_rate) *autumn_term_length*aca_value_special_ap</f>
        <v>1402.3</v>
      </c>
      <c r="P21" s="36">
        <f>IF(school_type_selection_special_ap='lookups (to be hidden)'!$G$9, pup_per_day, special_ap_pup_per_day)*autumn_term_length*'lookups (to be hidden)'!$J28*aca_value_special_ap</f>
        <v>0</v>
      </c>
      <c r="Q21" s="21"/>
      <c r="R21" s="36">
        <f>SUM(S21:T21)</f>
        <v>1080.1499999999999</v>
      </c>
      <c r="S21" s="36">
        <f>IF(school_type_selection_special_ap='lookups (to be hidden)'!$G$9, day_rate, special_ap_day_rate) *spring_term_length*aca_value_special_ap</f>
        <v>1080.1499999999999</v>
      </c>
      <c r="T21" s="36">
        <f>IF(school_type_selection_special_ap='lookups (to be hidden)'!$G$9, pup_per_day, special_ap_pup_per_day)*spring_term_length*'lookups (to be hidden)'!$J28*aca_value_special_ap</f>
        <v>0</v>
      </c>
    </row>
    <row r="22" spans="1:20">
      <c r="A22" s="52" t="str">
        <f>_xlfn.CONCAT("If approximately ", ABS(1-'lookups (to be hidden)'!H29)*100, "% more children than estimated attend (", 'lookups (to be hidden)'!J29, " pupils)")</f>
        <v>If approximately 20% more children than estimated attend (0 pupils)</v>
      </c>
      <c r="B22" s="52"/>
      <c r="C22" s="52"/>
      <c r="D22" s="36">
        <f>SUM(E22:G22)</f>
        <v>3676.2999999999993</v>
      </c>
      <c r="E22" s="36">
        <f t="shared" si="0"/>
        <v>3676.2999999999993</v>
      </c>
      <c r="F22" s="36">
        <f t="shared" si="0"/>
        <v>0</v>
      </c>
      <c r="G22" s="36">
        <f t="shared" si="1"/>
        <v>0</v>
      </c>
      <c r="H22" s="21"/>
      <c r="I22" s="36">
        <f t="shared" si="2"/>
        <v>1193.8499999999999</v>
      </c>
      <c r="J22" s="36">
        <f>IF(school_type_selection_special_ap='lookups (to be hidden)'!$G$9, day_rate, special_ap_day_rate) *summer_term_length*aca_value_special_ap</f>
        <v>1193.8499999999999</v>
      </c>
      <c r="K22" s="36">
        <f>IF(school_type_selection_special_ap='lookups (to be hidden)'!$G$9, pup_per_day, special_ap_pup_per_day)*summer_term_length*'lookups (to be hidden)'!$J29*aca_value_special_ap</f>
        <v>0</v>
      </c>
      <c r="L22" s="36">
        <f>IF(special_ap_ea_or_new_selection = 'lookups (to be hidden)'!$G$6, initial_set_up_cost, 0)</f>
        <v>0</v>
      </c>
      <c r="M22" s="21"/>
      <c r="N22" s="36">
        <f>SUM(O22:P22)</f>
        <v>1402.3</v>
      </c>
      <c r="O22" s="36">
        <f>IF(school_type_selection_special_ap='lookups (to be hidden)'!$G$9, day_rate, special_ap_day_rate) *autumn_term_length*aca_value_special_ap</f>
        <v>1402.3</v>
      </c>
      <c r="P22" s="36">
        <f>IF(school_type_selection_special_ap='lookups (to be hidden)'!$G$9, pup_per_day, special_ap_pup_per_day)*autumn_term_length*'lookups (to be hidden)'!$J29*aca_value_special_ap</f>
        <v>0</v>
      </c>
      <c r="Q22" s="21"/>
      <c r="R22" s="36">
        <f>SUM(S22:T22)</f>
        <v>1080.1499999999999</v>
      </c>
      <c r="S22" s="36">
        <f>IF(school_type_selection_special_ap='lookups (to be hidden)'!$G$9, day_rate, special_ap_day_rate) *spring_term_length*aca_value_special_ap</f>
        <v>1080.1499999999999</v>
      </c>
      <c r="T22" s="36">
        <f>IF(school_type_selection_special_ap='lookups (to be hidden)'!$G$9, pup_per_day, special_ap_pup_per_day)*spring_term_length*'lookups (to be hidden)'!$J29*aca_value_special_ap</f>
        <v>0</v>
      </c>
    </row>
  </sheetData>
  <sheetProtection algorithmName="SHA-512" hashValue="K8unZaXjCIN4V4+i02O7AHhPDH4zlubmQliONzsewVGb9K6m1G9aaa6kiCmMzQrFXMQwX3zoY2WbZZK03lXORA==" saltValue="wvlhZYcUZdgYK1J/ePbucg==" spinCount="100000" sheet="1" objects="1" scenarios="1" selectLockedCells="1"/>
  <mergeCells count="11">
    <mergeCell ref="A13:F14"/>
    <mergeCell ref="A18:C18"/>
    <mergeCell ref="I16:K16"/>
    <mergeCell ref="N16:P16"/>
    <mergeCell ref="R16:T16"/>
    <mergeCell ref="A19:C19"/>
    <mergeCell ref="A20:C20"/>
    <mergeCell ref="A21:C21"/>
    <mergeCell ref="A22:C22"/>
    <mergeCell ref="D16:F16"/>
    <mergeCell ref="A17:B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9A79-0267-4C6B-90B0-26A0E33373B2}">
  <dimension ref="A1:J160"/>
  <sheetViews>
    <sheetView workbookViewId="0">
      <selection activeCell="G6" sqref="G6"/>
    </sheetView>
  </sheetViews>
  <sheetFormatPr defaultRowHeight="14.45"/>
  <cols>
    <col min="1" max="1" width="46.28515625" customWidth="1"/>
    <col min="2" max="2" width="7.85546875" bestFit="1" customWidth="1"/>
    <col min="3" max="3" width="15.7109375" bestFit="1" customWidth="1"/>
    <col min="4" max="4" width="12.5703125" bestFit="1" customWidth="1"/>
    <col min="7" max="7" width="23.140625" bestFit="1" customWidth="1"/>
  </cols>
  <sheetData>
    <row r="1" spans="1:8">
      <c r="A1" s="20" t="s">
        <v>48</v>
      </c>
      <c r="B1" s="13"/>
      <c r="C1" s="13"/>
      <c r="D1" s="13"/>
    </row>
    <row r="2" spans="1:8">
      <c r="A2" s="20" t="s">
        <v>49</v>
      </c>
      <c r="B2" s="13"/>
      <c r="C2" s="13"/>
      <c r="D2" s="13"/>
    </row>
    <row r="3" spans="1:8">
      <c r="A3" s="16" t="s">
        <v>13</v>
      </c>
      <c r="B3" s="13"/>
      <c r="C3" s="13"/>
      <c r="D3" s="13"/>
    </row>
    <row r="4" spans="1:8">
      <c r="A4" s="17" t="s">
        <v>50</v>
      </c>
      <c r="B4" s="17" t="s">
        <v>51</v>
      </c>
      <c r="C4" s="17" t="s">
        <v>17</v>
      </c>
      <c r="D4" s="17" t="s">
        <v>43</v>
      </c>
      <c r="G4" s="18" t="s">
        <v>52</v>
      </c>
    </row>
    <row r="5" spans="1:8">
      <c r="A5" s="12" t="s">
        <v>53</v>
      </c>
      <c r="B5" s="13">
        <v>301</v>
      </c>
      <c r="C5" s="14">
        <v>1.1280600000000001</v>
      </c>
      <c r="D5" s="14">
        <v>1.12507</v>
      </c>
      <c r="G5" s="5" t="s">
        <v>54</v>
      </c>
    </row>
    <row r="6" spans="1:8">
      <c r="A6" s="12" t="s">
        <v>55</v>
      </c>
      <c r="B6" s="13">
        <v>302</v>
      </c>
      <c r="C6" s="15">
        <v>1.10036</v>
      </c>
      <c r="D6" s="15">
        <v>1.1144700000000001</v>
      </c>
      <c r="G6" s="5" t="s">
        <v>56</v>
      </c>
    </row>
    <row r="7" spans="1:8">
      <c r="A7" s="12" t="s">
        <v>57</v>
      </c>
      <c r="B7" s="13">
        <v>370</v>
      </c>
      <c r="C7" s="15">
        <v>1</v>
      </c>
      <c r="D7" s="15">
        <v>1</v>
      </c>
    </row>
    <row r="8" spans="1:8">
      <c r="A8" s="12" t="s">
        <v>58</v>
      </c>
      <c r="B8" s="13">
        <v>800</v>
      </c>
      <c r="C8" s="14">
        <v>1.0152399999999999</v>
      </c>
      <c r="D8" s="14">
        <v>1.0228600000000001</v>
      </c>
      <c r="G8" s="19" t="s">
        <v>59</v>
      </c>
    </row>
    <row r="9" spans="1:8">
      <c r="A9" s="12" t="s">
        <v>60</v>
      </c>
      <c r="B9" s="13">
        <v>822</v>
      </c>
      <c r="C9" s="15">
        <v>1.01634</v>
      </c>
      <c r="D9" s="15">
        <v>1.0245200000000001</v>
      </c>
      <c r="G9" s="6" t="s">
        <v>17</v>
      </c>
    </row>
    <row r="10" spans="1:8">
      <c r="A10" s="12" t="s">
        <v>61</v>
      </c>
      <c r="B10" s="13">
        <v>303</v>
      </c>
      <c r="C10" s="15">
        <v>1.08335</v>
      </c>
      <c r="D10" s="15">
        <v>1.0889500000000001</v>
      </c>
      <c r="G10" s="6" t="s">
        <v>43</v>
      </c>
    </row>
    <row r="11" spans="1:8">
      <c r="A11" s="12" t="s">
        <v>62</v>
      </c>
      <c r="B11" s="13">
        <v>330</v>
      </c>
      <c r="C11" s="15">
        <v>1.00352</v>
      </c>
      <c r="D11" s="15">
        <v>1.00528</v>
      </c>
    </row>
    <row r="12" spans="1:8">
      <c r="A12" s="12" t="s">
        <v>63</v>
      </c>
      <c r="B12" s="13">
        <v>889</v>
      </c>
      <c r="C12" s="14">
        <v>1</v>
      </c>
      <c r="D12" s="14">
        <v>1</v>
      </c>
      <c r="G12" t="s">
        <v>64</v>
      </c>
    </row>
    <row r="13" spans="1:8">
      <c r="A13" s="12" t="s">
        <v>65</v>
      </c>
      <c r="B13" s="13">
        <v>890</v>
      </c>
      <c r="C13" s="15">
        <v>1</v>
      </c>
      <c r="D13" s="15">
        <v>1</v>
      </c>
      <c r="G13" s="7" t="s">
        <v>66</v>
      </c>
      <c r="H13" s="9">
        <v>63</v>
      </c>
    </row>
    <row r="14" spans="1:8">
      <c r="A14" s="12" t="s">
        <v>67</v>
      </c>
      <c r="B14" s="13">
        <v>350</v>
      </c>
      <c r="C14" s="15">
        <v>1.00569</v>
      </c>
      <c r="D14" s="15">
        <v>1.00854</v>
      </c>
      <c r="G14" s="7" t="s">
        <v>68</v>
      </c>
      <c r="H14" s="9">
        <v>74</v>
      </c>
    </row>
    <row r="15" spans="1:8">
      <c r="A15" s="12" t="s">
        <v>69</v>
      </c>
      <c r="B15" s="13">
        <v>839</v>
      </c>
      <c r="C15" s="14">
        <v>1</v>
      </c>
      <c r="D15" s="14">
        <v>1</v>
      </c>
      <c r="G15" s="7" t="s">
        <v>70</v>
      </c>
      <c r="H15" s="9">
        <v>57</v>
      </c>
    </row>
    <row r="16" spans="1:8">
      <c r="A16" s="12" t="s">
        <v>71</v>
      </c>
      <c r="B16" s="13">
        <v>867</v>
      </c>
      <c r="C16" s="15">
        <v>1.0587800000000001</v>
      </c>
      <c r="D16" s="15">
        <v>1.0771500000000001</v>
      </c>
      <c r="G16" s="7" t="s">
        <v>72</v>
      </c>
      <c r="H16" s="9">
        <f>SUM(summer_term_length, autumn_term_length, spring_term_length)</f>
        <v>194</v>
      </c>
    </row>
    <row r="17" spans="1:10">
      <c r="A17" s="12" t="s">
        <v>73</v>
      </c>
      <c r="B17" s="13">
        <v>380</v>
      </c>
      <c r="C17" s="15">
        <v>1.00017</v>
      </c>
      <c r="D17" s="15">
        <v>1.0002500000000001</v>
      </c>
    </row>
    <row r="18" spans="1:10">
      <c r="A18" s="12" t="s">
        <v>74</v>
      </c>
      <c r="B18" s="13">
        <v>304</v>
      </c>
      <c r="C18" s="15">
        <v>1.14507</v>
      </c>
      <c r="D18" s="15">
        <v>1.15059</v>
      </c>
      <c r="G18" s="8" t="s">
        <v>75</v>
      </c>
      <c r="H18" s="8">
        <v>0</v>
      </c>
    </row>
    <row r="19" spans="1:10">
      <c r="A19" s="12" t="s">
        <v>76</v>
      </c>
      <c r="B19" s="13">
        <v>846</v>
      </c>
      <c r="C19" s="15">
        <v>1.00176</v>
      </c>
      <c r="D19" s="15">
        <v>1.00265</v>
      </c>
      <c r="G19" s="8" t="s">
        <v>77</v>
      </c>
      <c r="H19" s="8">
        <v>10</v>
      </c>
    </row>
    <row r="20" spans="1:10">
      <c r="A20" s="12" t="s">
        <v>78</v>
      </c>
      <c r="B20" s="13">
        <v>801</v>
      </c>
      <c r="C20" s="15">
        <v>1.0152399999999999</v>
      </c>
      <c r="D20" s="15">
        <v>1.0228600000000001</v>
      </c>
      <c r="G20" s="8" t="s">
        <v>79</v>
      </c>
      <c r="H20" s="8">
        <v>25</v>
      </c>
    </row>
    <row r="21" spans="1:10">
      <c r="A21" s="12" t="s">
        <v>80</v>
      </c>
      <c r="B21" s="13">
        <v>305</v>
      </c>
      <c r="C21" s="15">
        <v>1.08335</v>
      </c>
      <c r="D21" s="15">
        <v>1.0889500000000001</v>
      </c>
      <c r="G21" s="8" t="s">
        <v>81</v>
      </c>
      <c r="H21" s="8">
        <v>50</v>
      </c>
    </row>
    <row r="22" spans="1:10">
      <c r="A22" s="12" t="s">
        <v>82</v>
      </c>
      <c r="B22" s="13">
        <v>825</v>
      </c>
      <c r="C22" s="14">
        <v>1.0480799999999999</v>
      </c>
      <c r="D22" s="14">
        <v>1.04969</v>
      </c>
      <c r="G22" s="8" t="s">
        <v>83</v>
      </c>
      <c r="H22" s="8">
        <v>100</v>
      </c>
    </row>
    <row r="23" spans="1:10">
      <c r="A23" s="14" t="s">
        <v>84</v>
      </c>
      <c r="B23" s="13">
        <v>825</v>
      </c>
      <c r="C23" s="15">
        <v>1.0299</v>
      </c>
      <c r="D23" s="14">
        <v>1.04969</v>
      </c>
    </row>
    <row r="24" spans="1:10">
      <c r="A24" s="12" t="s">
        <v>85</v>
      </c>
      <c r="B24" s="13">
        <v>351</v>
      </c>
      <c r="C24" s="15">
        <v>1.00569</v>
      </c>
      <c r="D24" s="15">
        <v>1.00854</v>
      </c>
      <c r="I24" t="s">
        <v>86</v>
      </c>
      <c r="J24" t="s">
        <v>87</v>
      </c>
    </row>
    <row r="25" spans="1:10">
      <c r="A25" s="12" t="s">
        <v>88</v>
      </c>
      <c r="B25" s="13">
        <v>381</v>
      </c>
      <c r="C25" s="15">
        <v>1.00017</v>
      </c>
      <c r="D25" s="15">
        <v>1.0002500000000001</v>
      </c>
      <c r="G25" s="8"/>
      <c r="H25" s="8">
        <v>0.8</v>
      </c>
      <c r="I25" s="11">
        <f>ROUNDDOWN(num_of_pupils*'lookups (to be hidden)'!H25,0)</f>
        <v>0</v>
      </c>
      <c r="J25">
        <f>ROUNDDOWN(num_of_pupils_special_ap*'lookups (to be hidden)'!H25,0)</f>
        <v>0</v>
      </c>
    </row>
    <row r="26" spans="1:10">
      <c r="A26" s="12" t="s">
        <v>89</v>
      </c>
      <c r="B26" s="13">
        <v>873</v>
      </c>
      <c r="C26" s="15">
        <v>1.0133799999999999</v>
      </c>
      <c r="D26" s="15">
        <v>1.0200800000000001</v>
      </c>
      <c r="G26" s="8"/>
      <c r="H26" s="8">
        <v>0.9</v>
      </c>
      <c r="I26" s="11">
        <f>ROUNDDOWN(num_of_pupils*'lookups (to be hidden)'!H26,0)</f>
        <v>0</v>
      </c>
      <c r="J26">
        <f>ROUNDDOWN(num_of_pupils_special_ap*'lookups (to be hidden)'!H26,0)</f>
        <v>0</v>
      </c>
    </row>
    <row r="27" spans="1:10">
      <c r="A27" s="12" t="s">
        <v>90</v>
      </c>
      <c r="B27" s="13">
        <v>202</v>
      </c>
      <c r="C27" s="15">
        <v>1.18442</v>
      </c>
      <c r="D27" s="15">
        <v>1.20963</v>
      </c>
      <c r="G27" s="8"/>
      <c r="H27" s="8">
        <v>1</v>
      </c>
      <c r="I27" s="11">
        <f>ROUNDDOWN(num_of_pupils*'lookups (to be hidden)'!H27,0)</f>
        <v>0</v>
      </c>
      <c r="J27">
        <f>ROUNDDOWN(num_of_pupils_special_ap*'lookups (to be hidden)'!H27,0)</f>
        <v>0</v>
      </c>
    </row>
    <row r="28" spans="1:10">
      <c r="A28" s="12" t="s">
        <v>91</v>
      </c>
      <c r="B28" s="13">
        <v>823</v>
      </c>
      <c r="C28" s="15">
        <v>1.01634</v>
      </c>
      <c r="D28" s="15">
        <v>1.0245200000000001</v>
      </c>
      <c r="G28" s="8"/>
      <c r="H28" s="8">
        <v>1.1000000000000001</v>
      </c>
      <c r="I28" s="11">
        <f>ROUNDDOWN(num_of_pupils*'lookups (to be hidden)'!H28,0)</f>
        <v>0</v>
      </c>
      <c r="J28">
        <f>ROUNDDOWN(num_of_pupils_special_ap*'lookups (to be hidden)'!H28,0)</f>
        <v>0</v>
      </c>
    </row>
    <row r="29" spans="1:10">
      <c r="A29" s="12" t="s">
        <v>92</v>
      </c>
      <c r="B29" s="13">
        <v>895</v>
      </c>
      <c r="C29" s="15">
        <v>1.0037799999999999</v>
      </c>
      <c r="D29" s="15">
        <v>1.0056700000000001</v>
      </c>
      <c r="G29" s="8"/>
      <c r="H29" s="8">
        <v>1.2</v>
      </c>
      <c r="I29" s="11">
        <f>ROUNDDOWN(num_of_pupils*'lookups (to be hidden)'!H29,0)</f>
        <v>0</v>
      </c>
      <c r="J29">
        <f>ROUNDDOWN(num_of_pupils_special_ap*'lookups (to be hidden)'!H29,0)</f>
        <v>0</v>
      </c>
    </row>
    <row r="30" spans="1:10">
      <c r="A30" s="12" t="s">
        <v>93</v>
      </c>
      <c r="B30" s="13">
        <v>896</v>
      </c>
      <c r="C30" s="14">
        <v>1.0037799999999999</v>
      </c>
      <c r="D30" s="14">
        <v>1.0056700000000001</v>
      </c>
    </row>
    <row r="31" spans="1:10">
      <c r="A31" s="12" t="s">
        <v>94</v>
      </c>
      <c r="B31" s="13">
        <v>908</v>
      </c>
      <c r="C31" s="15">
        <v>1</v>
      </c>
      <c r="D31" s="15">
        <v>1</v>
      </c>
    </row>
    <row r="32" spans="1:10">
      <c r="A32" s="12" t="s">
        <v>95</v>
      </c>
      <c r="B32" s="13">
        <v>840</v>
      </c>
      <c r="C32" s="15">
        <v>1</v>
      </c>
      <c r="D32" s="15">
        <v>1</v>
      </c>
      <c r="G32" s="1" t="s">
        <v>96</v>
      </c>
      <c r="H32" s="10">
        <v>1</v>
      </c>
    </row>
    <row r="33" spans="1:8">
      <c r="A33" s="12" t="s">
        <v>97</v>
      </c>
      <c r="B33" s="13">
        <v>331</v>
      </c>
      <c r="C33" s="15">
        <v>1.00352</v>
      </c>
      <c r="D33" s="15">
        <v>1.00528</v>
      </c>
      <c r="G33" s="1" t="s">
        <v>98</v>
      </c>
      <c r="H33" s="10">
        <v>25</v>
      </c>
    </row>
    <row r="34" spans="1:8">
      <c r="A34" s="12" t="s">
        <v>99</v>
      </c>
      <c r="B34" s="13">
        <v>306</v>
      </c>
      <c r="C34" s="15">
        <v>1.08335</v>
      </c>
      <c r="D34" s="15">
        <v>1.0889500000000001</v>
      </c>
      <c r="G34" s="1" t="s">
        <v>100</v>
      </c>
      <c r="H34" s="10">
        <v>3.23</v>
      </c>
    </row>
    <row r="35" spans="1:8">
      <c r="A35" s="12" t="s">
        <v>101</v>
      </c>
      <c r="B35" s="13">
        <v>942</v>
      </c>
      <c r="C35" s="15">
        <v>1</v>
      </c>
      <c r="D35" s="15">
        <v>1</v>
      </c>
      <c r="G35" s="1" t="s">
        <v>102</v>
      </c>
      <c r="H35" s="10">
        <v>18.95</v>
      </c>
    </row>
    <row r="36" spans="1:8">
      <c r="A36" s="12" t="s">
        <v>103</v>
      </c>
      <c r="B36" s="13">
        <v>841</v>
      </c>
      <c r="C36" s="15">
        <v>1</v>
      </c>
      <c r="D36" s="15">
        <v>1</v>
      </c>
      <c r="G36" s="1" t="s">
        <v>104</v>
      </c>
      <c r="H36" s="10">
        <v>1000</v>
      </c>
    </row>
    <row r="37" spans="1:8">
      <c r="A37" s="12" t="s">
        <v>105</v>
      </c>
      <c r="B37" s="13">
        <v>831</v>
      </c>
      <c r="C37" s="15">
        <v>1</v>
      </c>
      <c r="D37" s="15">
        <v>1</v>
      </c>
    </row>
    <row r="38" spans="1:8">
      <c r="A38" s="12" t="s">
        <v>106</v>
      </c>
      <c r="B38" s="13">
        <v>830</v>
      </c>
      <c r="C38" s="15">
        <v>1</v>
      </c>
      <c r="D38" s="15">
        <v>1</v>
      </c>
    </row>
    <row r="39" spans="1:8">
      <c r="A39" s="12" t="s">
        <v>107</v>
      </c>
      <c r="B39" s="13">
        <v>878</v>
      </c>
      <c r="C39" s="15">
        <v>1</v>
      </c>
      <c r="D39" s="15">
        <v>1</v>
      </c>
      <c r="G39" s="1" t="s">
        <v>108</v>
      </c>
      <c r="H39" s="10">
        <v>1000</v>
      </c>
    </row>
    <row r="40" spans="1:8">
      <c r="A40" s="12" t="s">
        <v>109</v>
      </c>
      <c r="B40" s="13">
        <v>371</v>
      </c>
      <c r="C40" s="15">
        <v>1</v>
      </c>
      <c r="D40" s="15">
        <v>1</v>
      </c>
    </row>
    <row r="41" spans="1:8">
      <c r="A41" s="12" t="s">
        <v>110</v>
      </c>
      <c r="B41" s="13">
        <v>838</v>
      </c>
      <c r="C41" s="15">
        <v>1</v>
      </c>
      <c r="D41" s="15">
        <v>1</v>
      </c>
    </row>
    <row r="42" spans="1:8">
      <c r="A42" s="12" t="s">
        <v>111</v>
      </c>
      <c r="B42" s="13">
        <v>332</v>
      </c>
      <c r="C42" s="15">
        <v>1.00352</v>
      </c>
      <c r="D42" s="15">
        <v>1.00528</v>
      </c>
    </row>
    <row r="43" spans="1:8">
      <c r="A43" s="12" t="s">
        <v>112</v>
      </c>
      <c r="B43" s="13">
        <v>307</v>
      </c>
      <c r="C43" s="15">
        <v>1.14507</v>
      </c>
      <c r="D43" s="15">
        <v>1.15059</v>
      </c>
    </row>
    <row r="44" spans="1:8">
      <c r="A44" s="12" t="s">
        <v>113</v>
      </c>
      <c r="B44" s="13">
        <v>811</v>
      </c>
      <c r="C44" s="14">
        <v>1</v>
      </c>
      <c r="D44" s="14">
        <v>1</v>
      </c>
    </row>
    <row r="45" spans="1:8">
      <c r="A45" s="12" t="s">
        <v>114</v>
      </c>
      <c r="B45" s="13">
        <v>845</v>
      </c>
      <c r="C45" s="15">
        <v>1.00176</v>
      </c>
      <c r="D45" s="15">
        <v>1.00265</v>
      </c>
    </row>
    <row r="46" spans="1:8">
      <c r="A46" s="12" t="s">
        <v>115</v>
      </c>
      <c r="B46" s="13">
        <v>308</v>
      </c>
      <c r="C46" s="15">
        <v>1.08335</v>
      </c>
      <c r="D46" s="15">
        <v>1.0889500000000001</v>
      </c>
    </row>
    <row r="47" spans="1:8">
      <c r="A47" s="12" t="s">
        <v>116</v>
      </c>
      <c r="B47" s="13">
        <v>881</v>
      </c>
      <c r="C47" s="15">
        <v>1.03854</v>
      </c>
      <c r="D47" s="14">
        <v>1.0198199999999999</v>
      </c>
    </row>
    <row r="48" spans="1:8">
      <c r="A48" s="12" t="s">
        <v>117</v>
      </c>
      <c r="B48" s="13">
        <v>881</v>
      </c>
      <c r="C48" s="15">
        <v>1.00369</v>
      </c>
      <c r="D48" s="14">
        <v>1.0198199999999999</v>
      </c>
    </row>
    <row r="49" spans="1:4">
      <c r="A49" s="12" t="s">
        <v>118</v>
      </c>
      <c r="B49" s="13">
        <v>390</v>
      </c>
      <c r="C49" s="15">
        <v>1</v>
      </c>
      <c r="D49" s="15">
        <v>1</v>
      </c>
    </row>
    <row r="50" spans="1:4">
      <c r="A50" s="12" t="s">
        <v>119</v>
      </c>
      <c r="B50" s="13">
        <v>916</v>
      </c>
      <c r="C50" s="15">
        <v>1.00657</v>
      </c>
      <c r="D50" s="15">
        <v>1.0098499999999999</v>
      </c>
    </row>
    <row r="51" spans="1:4">
      <c r="A51" s="12" t="s">
        <v>120</v>
      </c>
      <c r="B51" s="13">
        <v>203</v>
      </c>
      <c r="C51" s="15">
        <v>1.18442</v>
      </c>
      <c r="D51" s="15">
        <v>1.20963</v>
      </c>
    </row>
    <row r="52" spans="1:4">
      <c r="A52" s="12" t="s">
        <v>121</v>
      </c>
      <c r="B52" s="13">
        <v>204</v>
      </c>
      <c r="C52" s="15">
        <v>1.18442</v>
      </c>
      <c r="D52" s="15">
        <v>1.20963</v>
      </c>
    </row>
    <row r="53" spans="1:4">
      <c r="A53" s="12" t="s">
        <v>122</v>
      </c>
      <c r="B53" s="13">
        <v>876</v>
      </c>
      <c r="C53" s="15">
        <v>1.0037799999999999</v>
      </c>
      <c r="D53" s="15">
        <v>1.0056700000000001</v>
      </c>
    </row>
    <row r="54" spans="1:4">
      <c r="A54" s="12" t="s">
        <v>123</v>
      </c>
      <c r="B54" s="13">
        <v>205</v>
      </c>
      <c r="C54" s="14">
        <v>1.18442</v>
      </c>
      <c r="D54" s="14">
        <v>1.20963</v>
      </c>
    </row>
    <row r="55" spans="1:4">
      <c r="A55" s="12" t="s">
        <v>124</v>
      </c>
      <c r="B55" s="13">
        <v>850</v>
      </c>
      <c r="C55" s="15">
        <v>1.0147900000000001</v>
      </c>
      <c r="D55" s="15">
        <v>1.0221899999999999</v>
      </c>
    </row>
    <row r="56" spans="1:4">
      <c r="A56" s="12" t="s">
        <v>125</v>
      </c>
      <c r="B56" s="13">
        <v>309</v>
      </c>
      <c r="C56" s="15">
        <v>1.1280600000000001</v>
      </c>
      <c r="D56" s="15">
        <v>1.12507</v>
      </c>
    </row>
    <row r="57" spans="1:4">
      <c r="A57" s="12" t="s">
        <v>126</v>
      </c>
      <c r="B57" s="13">
        <v>310</v>
      </c>
      <c r="C57" s="15">
        <v>1.10036</v>
      </c>
      <c r="D57" s="15">
        <v>1.1144700000000001</v>
      </c>
    </row>
    <row r="58" spans="1:4">
      <c r="A58" s="12" t="s">
        <v>127</v>
      </c>
      <c r="B58" s="13">
        <v>805</v>
      </c>
      <c r="C58" s="15">
        <v>1</v>
      </c>
      <c r="D58" s="15">
        <v>1</v>
      </c>
    </row>
    <row r="59" spans="1:4">
      <c r="A59" s="12" t="s">
        <v>128</v>
      </c>
      <c r="B59" s="13">
        <v>311</v>
      </c>
      <c r="C59" s="15">
        <v>1.08335</v>
      </c>
      <c r="D59" s="15">
        <v>1.0889500000000001</v>
      </c>
    </row>
    <row r="60" spans="1:4">
      <c r="A60" s="12" t="s">
        <v>129</v>
      </c>
      <c r="B60" s="13">
        <v>884</v>
      </c>
      <c r="C60" s="14">
        <v>1</v>
      </c>
      <c r="D60" s="14">
        <v>1</v>
      </c>
    </row>
    <row r="61" spans="1:4">
      <c r="A61" s="12" t="s">
        <v>130</v>
      </c>
      <c r="B61" s="13">
        <v>919</v>
      </c>
      <c r="C61" s="15">
        <v>1.0480799999999999</v>
      </c>
      <c r="D61" s="15">
        <v>1.0544899999999999</v>
      </c>
    </row>
    <row r="62" spans="1:4">
      <c r="A62" s="12" t="s">
        <v>131</v>
      </c>
      <c r="B62" s="13">
        <v>919</v>
      </c>
      <c r="C62" s="14">
        <v>1.01634</v>
      </c>
      <c r="D62" s="15">
        <v>1.0544899999999999</v>
      </c>
    </row>
    <row r="63" spans="1:4">
      <c r="A63" s="12" t="s">
        <v>132</v>
      </c>
      <c r="B63" s="13">
        <v>312</v>
      </c>
      <c r="C63" s="15">
        <v>1.10036</v>
      </c>
      <c r="D63" s="15">
        <v>1.1144700000000001</v>
      </c>
    </row>
    <row r="64" spans="1:4">
      <c r="A64" s="12" t="s">
        <v>133</v>
      </c>
      <c r="B64" s="13">
        <v>313</v>
      </c>
      <c r="C64" s="15">
        <v>1.10036</v>
      </c>
      <c r="D64" s="15">
        <v>1.1144700000000001</v>
      </c>
    </row>
    <row r="65" spans="1:4">
      <c r="A65" s="12" t="s">
        <v>134</v>
      </c>
      <c r="B65" s="13">
        <v>921</v>
      </c>
      <c r="C65" s="15">
        <v>1.0147900000000001</v>
      </c>
      <c r="D65" s="15">
        <v>1.0221899999999999</v>
      </c>
    </row>
    <row r="66" spans="1:4">
      <c r="A66" s="12" t="s">
        <v>135</v>
      </c>
      <c r="B66" s="13">
        <v>206</v>
      </c>
      <c r="C66" s="15">
        <v>1.18442</v>
      </c>
      <c r="D66" s="15">
        <v>1.20963</v>
      </c>
    </row>
    <row r="67" spans="1:4">
      <c r="A67" s="12" t="s">
        <v>136</v>
      </c>
      <c r="B67" s="13">
        <v>207</v>
      </c>
      <c r="C67" s="14">
        <v>1.18442</v>
      </c>
      <c r="D67" s="14">
        <v>1.20963</v>
      </c>
    </row>
    <row r="68" spans="1:4">
      <c r="A68" s="12" t="s">
        <v>137</v>
      </c>
      <c r="B68" s="13">
        <v>886</v>
      </c>
      <c r="C68" s="15">
        <v>1.03854</v>
      </c>
      <c r="D68" s="14">
        <v>1.00861</v>
      </c>
    </row>
    <row r="69" spans="1:4">
      <c r="A69" s="12" t="s">
        <v>138</v>
      </c>
      <c r="B69" s="13">
        <v>886</v>
      </c>
      <c r="C69" s="15">
        <v>1.00074</v>
      </c>
      <c r="D69" s="14">
        <v>1.00861</v>
      </c>
    </row>
    <row r="70" spans="1:4">
      <c r="A70" s="12" t="s">
        <v>139</v>
      </c>
      <c r="B70" s="13">
        <v>810</v>
      </c>
      <c r="C70" s="14">
        <v>1</v>
      </c>
      <c r="D70" s="14">
        <v>1</v>
      </c>
    </row>
    <row r="71" spans="1:4">
      <c r="A71" s="12" t="s">
        <v>140</v>
      </c>
      <c r="B71" s="13">
        <v>314</v>
      </c>
      <c r="C71" s="14">
        <v>1.10036</v>
      </c>
      <c r="D71" s="14">
        <v>1.1144700000000001</v>
      </c>
    </row>
    <row r="72" spans="1:4">
      <c r="A72" s="12" t="s">
        <v>141</v>
      </c>
      <c r="B72" s="13">
        <v>382</v>
      </c>
      <c r="C72" s="15">
        <v>1.00017</v>
      </c>
      <c r="D72" s="15">
        <v>1.0002500000000001</v>
      </c>
    </row>
    <row r="73" spans="1:4">
      <c r="A73" s="12" t="s">
        <v>142</v>
      </c>
      <c r="B73" s="13">
        <v>340</v>
      </c>
      <c r="C73" s="15">
        <v>1.0011699999999999</v>
      </c>
      <c r="D73" s="15">
        <v>1.0017499999999999</v>
      </c>
    </row>
    <row r="74" spans="1:4">
      <c r="A74" s="12" t="s">
        <v>143</v>
      </c>
      <c r="B74" s="13">
        <v>208</v>
      </c>
      <c r="C74" s="15">
        <v>1.18442</v>
      </c>
      <c r="D74" s="15">
        <v>1.20963</v>
      </c>
    </row>
    <row r="75" spans="1:4">
      <c r="A75" s="12" t="s">
        <v>144</v>
      </c>
      <c r="B75" s="13">
        <v>888</v>
      </c>
      <c r="C75" s="15">
        <v>1</v>
      </c>
      <c r="D75" s="15">
        <v>1</v>
      </c>
    </row>
    <row r="76" spans="1:4">
      <c r="A76" s="12" t="s">
        <v>145</v>
      </c>
      <c r="B76" s="13">
        <v>383</v>
      </c>
      <c r="C76" s="15">
        <v>1.00017</v>
      </c>
      <c r="D76" s="15">
        <v>1.0002500000000001</v>
      </c>
    </row>
    <row r="77" spans="1:4">
      <c r="A77" s="12" t="s">
        <v>146</v>
      </c>
      <c r="B77" s="13">
        <v>856</v>
      </c>
      <c r="C77" s="15">
        <v>1</v>
      </c>
      <c r="D77" s="15">
        <v>1</v>
      </c>
    </row>
    <row r="78" spans="1:4">
      <c r="A78" s="12" t="s">
        <v>147</v>
      </c>
      <c r="B78" s="13">
        <v>855</v>
      </c>
      <c r="C78" s="15">
        <v>1</v>
      </c>
      <c r="D78" s="15">
        <v>1</v>
      </c>
    </row>
    <row r="79" spans="1:4">
      <c r="A79" s="12" t="s">
        <v>148</v>
      </c>
      <c r="B79" s="13">
        <v>209</v>
      </c>
      <c r="C79" s="15">
        <v>1.18442</v>
      </c>
      <c r="D79" s="15">
        <v>1.20963</v>
      </c>
    </row>
    <row r="80" spans="1:4">
      <c r="A80" s="12" t="s">
        <v>149</v>
      </c>
      <c r="B80" s="13">
        <v>925</v>
      </c>
      <c r="C80" s="15">
        <v>1</v>
      </c>
      <c r="D80" s="15">
        <v>1</v>
      </c>
    </row>
    <row r="81" spans="1:4">
      <c r="A81" s="12" t="s">
        <v>150</v>
      </c>
      <c r="B81" s="13">
        <v>341</v>
      </c>
      <c r="C81" s="15">
        <v>1.0011699999999999</v>
      </c>
      <c r="D81" s="15">
        <v>1.0017499999999999</v>
      </c>
    </row>
    <row r="82" spans="1:4">
      <c r="A82" s="12" t="s">
        <v>151</v>
      </c>
      <c r="B82" s="13">
        <v>821</v>
      </c>
      <c r="C82" s="15">
        <v>1.01634</v>
      </c>
      <c r="D82" s="15">
        <v>1.0245200000000001</v>
      </c>
    </row>
    <row r="83" spans="1:4">
      <c r="A83" s="12" t="s">
        <v>152</v>
      </c>
      <c r="B83" s="13">
        <v>352</v>
      </c>
      <c r="C83" s="15">
        <v>1.00569</v>
      </c>
      <c r="D83" s="15">
        <v>1.00854</v>
      </c>
    </row>
    <row r="84" spans="1:4">
      <c r="A84" s="12" t="s">
        <v>153</v>
      </c>
      <c r="B84" s="13">
        <v>887</v>
      </c>
      <c r="C84" s="15">
        <v>1.00074</v>
      </c>
      <c r="D84" s="15">
        <v>1.0011000000000001</v>
      </c>
    </row>
    <row r="85" spans="1:4">
      <c r="A85" s="12" t="s">
        <v>154</v>
      </c>
      <c r="B85" s="13">
        <v>315</v>
      </c>
      <c r="C85" s="15">
        <v>1.14507</v>
      </c>
      <c r="D85" s="15">
        <v>1.15059</v>
      </c>
    </row>
    <row r="86" spans="1:4">
      <c r="A86" s="12" t="s">
        <v>155</v>
      </c>
      <c r="B86" s="13">
        <v>806</v>
      </c>
      <c r="C86" s="15">
        <v>1</v>
      </c>
      <c r="D86" s="15">
        <v>1</v>
      </c>
    </row>
    <row r="87" spans="1:4">
      <c r="A87" s="12" t="s">
        <v>156</v>
      </c>
      <c r="B87" s="13">
        <v>826</v>
      </c>
      <c r="C87" s="15">
        <v>1.0299</v>
      </c>
      <c r="D87" s="15">
        <v>1.0448599999999999</v>
      </c>
    </row>
    <row r="88" spans="1:4">
      <c r="A88" s="12" t="s">
        <v>157</v>
      </c>
      <c r="B88" s="13">
        <v>391</v>
      </c>
      <c r="C88" s="14">
        <v>1</v>
      </c>
      <c r="D88" s="14">
        <v>1</v>
      </c>
    </row>
    <row r="89" spans="1:4">
      <c r="A89" s="12" t="s">
        <v>158</v>
      </c>
      <c r="B89" s="13">
        <v>316</v>
      </c>
      <c r="C89" s="15">
        <v>1.1280600000000001</v>
      </c>
      <c r="D89" s="15">
        <v>1.12507</v>
      </c>
    </row>
    <row r="90" spans="1:4">
      <c r="A90" s="12" t="s">
        <v>159</v>
      </c>
      <c r="B90" s="13">
        <v>926</v>
      </c>
      <c r="C90" s="15">
        <v>1</v>
      </c>
      <c r="D90" s="15">
        <v>1</v>
      </c>
    </row>
    <row r="91" spans="1:4">
      <c r="A91" s="12" t="s">
        <v>160</v>
      </c>
      <c r="B91" s="13">
        <v>812</v>
      </c>
      <c r="C91" s="14">
        <v>1</v>
      </c>
      <c r="D91" s="14">
        <v>1</v>
      </c>
    </row>
    <row r="92" spans="1:4">
      <c r="A92" s="12" t="s">
        <v>161</v>
      </c>
      <c r="B92" s="13">
        <v>813</v>
      </c>
      <c r="C92" s="15">
        <v>1</v>
      </c>
      <c r="D92" s="15">
        <v>1</v>
      </c>
    </row>
    <row r="93" spans="1:4">
      <c r="A93" s="12" t="s">
        <v>162</v>
      </c>
      <c r="B93" s="13">
        <v>940</v>
      </c>
      <c r="C93" s="14">
        <v>1.00342</v>
      </c>
      <c r="D93" s="14">
        <v>1.0051399999999999</v>
      </c>
    </row>
    <row r="94" spans="1:4">
      <c r="A94" s="12" t="s">
        <v>163</v>
      </c>
      <c r="B94" s="13">
        <v>802</v>
      </c>
      <c r="C94" s="15">
        <v>1.0152399999999999</v>
      </c>
      <c r="D94" s="15">
        <v>1.0228600000000001</v>
      </c>
    </row>
    <row r="95" spans="1:4">
      <c r="A95" s="12" t="s">
        <v>164</v>
      </c>
      <c r="B95" s="13">
        <v>392</v>
      </c>
      <c r="C95" s="15">
        <v>1</v>
      </c>
      <c r="D95" s="15">
        <v>1</v>
      </c>
    </row>
    <row r="96" spans="1:4">
      <c r="A96" s="12" t="s">
        <v>165</v>
      </c>
      <c r="B96" s="13">
        <v>815</v>
      </c>
      <c r="C96" s="15">
        <v>1</v>
      </c>
      <c r="D96" s="15">
        <v>1</v>
      </c>
    </row>
    <row r="97" spans="1:4">
      <c r="A97" s="12" t="s">
        <v>166</v>
      </c>
      <c r="B97" s="13">
        <v>929</v>
      </c>
      <c r="C97" s="15">
        <v>1</v>
      </c>
      <c r="D97" s="15">
        <v>1</v>
      </c>
    </row>
    <row r="98" spans="1:4">
      <c r="A98" s="12" t="s">
        <v>167</v>
      </c>
      <c r="B98" s="13">
        <v>892</v>
      </c>
      <c r="C98" s="15">
        <v>1.00288</v>
      </c>
      <c r="D98" s="15">
        <v>1.0043299999999999</v>
      </c>
    </row>
    <row r="99" spans="1:4">
      <c r="A99" s="12" t="s">
        <v>168</v>
      </c>
      <c r="B99" s="13">
        <v>891</v>
      </c>
      <c r="C99" s="15">
        <v>1.00288</v>
      </c>
      <c r="D99" s="15">
        <v>1.0043299999999999</v>
      </c>
    </row>
    <row r="100" spans="1:4">
      <c r="A100" s="12" t="s">
        <v>169</v>
      </c>
      <c r="B100" s="13">
        <v>353</v>
      </c>
      <c r="C100" s="15">
        <v>1.00569</v>
      </c>
      <c r="D100" s="15">
        <v>1.00854</v>
      </c>
    </row>
    <row r="101" spans="1:4">
      <c r="A101" s="12" t="s">
        <v>170</v>
      </c>
      <c r="B101" s="13">
        <v>931</v>
      </c>
      <c r="C101" s="15">
        <v>1.0231399999999999</v>
      </c>
      <c r="D101" s="15">
        <v>1.03471</v>
      </c>
    </row>
    <row r="102" spans="1:4">
      <c r="A102" s="12" t="s">
        <v>171</v>
      </c>
      <c r="B102" s="13">
        <v>874</v>
      </c>
      <c r="C102" s="15">
        <v>1.0133799999999999</v>
      </c>
      <c r="D102" s="15">
        <v>1.0200800000000001</v>
      </c>
    </row>
    <row r="103" spans="1:4">
      <c r="A103" s="12" t="s">
        <v>172</v>
      </c>
      <c r="B103" s="13">
        <v>879</v>
      </c>
      <c r="C103" s="15">
        <v>1</v>
      </c>
      <c r="D103" s="15">
        <v>1</v>
      </c>
    </row>
    <row r="104" spans="1:4">
      <c r="A104" s="12" t="s">
        <v>173</v>
      </c>
      <c r="B104" s="13">
        <v>851</v>
      </c>
      <c r="C104" s="15">
        <v>1.0147900000000001</v>
      </c>
      <c r="D104" s="15">
        <v>1.0221899999999999</v>
      </c>
    </row>
    <row r="105" spans="1:4">
      <c r="A105" s="12" t="s">
        <v>174</v>
      </c>
      <c r="B105" s="13">
        <v>870</v>
      </c>
      <c r="C105" s="15">
        <v>1.0362199999999999</v>
      </c>
      <c r="D105" s="15">
        <v>1.0543400000000001</v>
      </c>
    </row>
    <row r="106" spans="1:4">
      <c r="A106" s="12" t="s">
        <v>175</v>
      </c>
      <c r="B106" s="13">
        <v>317</v>
      </c>
      <c r="C106" s="15">
        <v>1.08335</v>
      </c>
      <c r="D106" s="15">
        <v>1.0889500000000001</v>
      </c>
    </row>
    <row r="107" spans="1:4">
      <c r="A107" s="12" t="s">
        <v>176</v>
      </c>
      <c r="B107" s="13">
        <v>807</v>
      </c>
      <c r="C107" s="14">
        <v>1</v>
      </c>
      <c r="D107" s="14">
        <v>1</v>
      </c>
    </row>
    <row r="108" spans="1:4">
      <c r="A108" s="12" t="s">
        <v>177</v>
      </c>
      <c r="B108" s="13">
        <v>318</v>
      </c>
      <c r="C108" s="14">
        <v>1.10036</v>
      </c>
      <c r="D108" s="14">
        <v>1.1144700000000001</v>
      </c>
    </row>
    <row r="109" spans="1:4">
      <c r="A109" s="12" t="s">
        <v>178</v>
      </c>
      <c r="B109" s="13">
        <v>354</v>
      </c>
      <c r="C109" s="15">
        <v>1.00569</v>
      </c>
      <c r="D109" s="15">
        <v>1.00854</v>
      </c>
    </row>
    <row r="110" spans="1:4">
      <c r="A110" s="12" t="s">
        <v>179</v>
      </c>
      <c r="B110" s="13">
        <v>372</v>
      </c>
      <c r="C110" s="15">
        <v>1</v>
      </c>
      <c r="D110" s="15">
        <v>1</v>
      </c>
    </row>
    <row r="111" spans="1:4">
      <c r="A111" s="12" t="s">
        <v>180</v>
      </c>
      <c r="B111" s="13">
        <v>857</v>
      </c>
      <c r="C111" s="15">
        <v>1</v>
      </c>
      <c r="D111" s="15">
        <v>1</v>
      </c>
    </row>
    <row r="112" spans="1:4">
      <c r="A112" s="12" t="s">
        <v>181</v>
      </c>
      <c r="B112" s="13">
        <v>355</v>
      </c>
      <c r="C112" s="15">
        <v>1.00569</v>
      </c>
      <c r="D112" s="15">
        <v>1.00854</v>
      </c>
    </row>
    <row r="113" spans="1:4">
      <c r="A113" s="12" t="s">
        <v>182</v>
      </c>
      <c r="B113" s="13">
        <v>333</v>
      </c>
      <c r="C113" s="15">
        <v>1.00352</v>
      </c>
      <c r="D113" s="15">
        <v>1.00528</v>
      </c>
    </row>
    <row r="114" spans="1:4">
      <c r="A114" s="12" t="s">
        <v>183</v>
      </c>
      <c r="B114" s="13">
        <v>343</v>
      </c>
      <c r="C114" s="15">
        <v>1.0011699999999999</v>
      </c>
      <c r="D114" s="15">
        <v>1.0017499999999999</v>
      </c>
    </row>
    <row r="115" spans="1:4">
      <c r="A115" s="12" t="s">
        <v>184</v>
      </c>
      <c r="B115" s="13">
        <v>373</v>
      </c>
      <c r="C115" s="15">
        <v>1</v>
      </c>
      <c r="D115" s="15">
        <v>1</v>
      </c>
    </row>
    <row r="116" spans="1:4">
      <c r="A116" s="12" t="s">
        <v>185</v>
      </c>
      <c r="B116" s="13">
        <v>893</v>
      </c>
      <c r="C116" s="15">
        <v>1</v>
      </c>
      <c r="D116" s="15">
        <v>1</v>
      </c>
    </row>
    <row r="117" spans="1:4">
      <c r="A117" s="12" t="s">
        <v>186</v>
      </c>
      <c r="B117" s="13">
        <v>871</v>
      </c>
      <c r="C117" s="15">
        <v>1.0587800000000001</v>
      </c>
      <c r="D117" s="15">
        <v>1.0771500000000001</v>
      </c>
    </row>
    <row r="118" spans="1:4">
      <c r="A118" s="12" t="s">
        <v>187</v>
      </c>
      <c r="B118" s="13">
        <v>334</v>
      </c>
      <c r="C118" s="15">
        <v>1.00352</v>
      </c>
      <c r="D118" s="15">
        <v>1.00528</v>
      </c>
    </row>
    <row r="119" spans="1:4">
      <c r="A119" s="12" t="s">
        <v>188</v>
      </c>
      <c r="B119" s="13">
        <v>933</v>
      </c>
      <c r="C119" s="15">
        <v>1</v>
      </c>
      <c r="D119" s="15">
        <v>1</v>
      </c>
    </row>
    <row r="120" spans="1:4">
      <c r="A120" s="12" t="s">
        <v>189</v>
      </c>
      <c r="B120" s="13">
        <v>803</v>
      </c>
      <c r="C120" s="14">
        <v>1.0152399999999999</v>
      </c>
      <c r="D120" s="14">
        <v>1.0228600000000001</v>
      </c>
    </row>
    <row r="121" spans="1:4">
      <c r="A121" s="12" t="s">
        <v>190</v>
      </c>
      <c r="B121" s="13">
        <v>393</v>
      </c>
      <c r="C121" s="15">
        <v>1</v>
      </c>
      <c r="D121" s="15">
        <v>1</v>
      </c>
    </row>
    <row r="122" spans="1:4">
      <c r="A122" s="12" t="s">
        <v>191</v>
      </c>
      <c r="B122" s="13">
        <v>852</v>
      </c>
      <c r="C122" s="15">
        <v>1.0147900000000001</v>
      </c>
      <c r="D122" s="15">
        <v>1.0221899999999999</v>
      </c>
    </row>
    <row r="123" spans="1:4">
      <c r="A123" s="12" t="s">
        <v>192</v>
      </c>
      <c r="B123" s="13">
        <v>882</v>
      </c>
      <c r="C123" s="15">
        <v>1.00369</v>
      </c>
      <c r="D123" s="15">
        <v>1.0055400000000001</v>
      </c>
    </row>
    <row r="124" spans="1:4">
      <c r="A124" s="12" t="s">
        <v>193</v>
      </c>
      <c r="B124" s="13">
        <v>210</v>
      </c>
      <c r="C124" s="15">
        <v>1.18442</v>
      </c>
      <c r="D124" s="15">
        <v>1.20963</v>
      </c>
    </row>
    <row r="125" spans="1:4">
      <c r="A125" s="12" t="s">
        <v>194</v>
      </c>
      <c r="B125" s="13">
        <v>342</v>
      </c>
      <c r="C125" s="15">
        <v>1.0011699999999999</v>
      </c>
      <c r="D125" s="15">
        <v>1.0017499999999999</v>
      </c>
    </row>
    <row r="126" spans="1:4">
      <c r="A126" s="12" t="s">
        <v>195</v>
      </c>
      <c r="B126" s="13">
        <v>860</v>
      </c>
      <c r="C126" s="15">
        <v>1</v>
      </c>
      <c r="D126" s="15">
        <v>1</v>
      </c>
    </row>
    <row r="127" spans="1:4">
      <c r="A127" s="12" t="s">
        <v>196</v>
      </c>
      <c r="B127" s="13">
        <v>356</v>
      </c>
      <c r="C127" s="15">
        <v>1.00569</v>
      </c>
      <c r="D127" s="15">
        <v>1.00854</v>
      </c>
    </row>
    <row r="128" spans="1:4">
      <c r="A128" s="12" t="s">
        <v>197</v>
      </c>
      <c r="B128" s="13">
        <v>808</v>
      </c>
      <c r="C128" s="15">
        <v>1</v>
      </c>
      <c r="D128" s="15">
        <v>1</v>
      </c>
    </row>
    <row r="129" spans="1:4">
      <c r="A129" s="12" t="s">
        <v>198</v>
      </c>
      <c r="B129" s="13">
        <v>861</v>
      </c>
      <c r="C129" s="15">
        <v>1</v>
      </c>
      <c r="D129" s="15">
        <v>1</v>
      </c>
    </row>
    <row r="130" spans="1:4">
      <c r="A130" s="12" t="s">
        <v>199</v>
      </c>
      <c r="B130" s="13">
        <v>935</v>
      </c>
      <c r="C130" s="15">
        <v>1.0000199999999999</v>
      </c>
      <c r="D130" s="15">
        <v>1.00004</v>
      </c>
    </row>
    <row r="131" spans="1:4">
      <c r="A131" s="12" t="s">
        <v>200</v>
      </c>
      <c r="B131" s="13">
        <v>394</v>
      </c>
      <c r="C131" s="15">
        <v>1</v>
      </c>
      <c r="D131" s="15">
        <v>1</v>
      </c>
    </row>
    <row r="132" spans="1:4">
      <c r="A132" s="12" t="s">
        <v>201</v>
      </c>
      <c r="B132" s="13">
        <v>936</v>
      </c>
      <c r="C132" s="15">
        <v>1.0587800000000001</v>
      </c>
      <c r="D132" s="15">
        <v>1.0771500000000001</v>
      </c>
    </row>
    <row r="133" spans="1:4">
      <c r="A133" s="12" t="s">
        <v>202</v>
      </c>
      <c r="B133" s="13">
        <v>319</v>
      </c>
      <c r="C133" s="15">
        <v>1.10036</v>
      </c>
      <c r="D133" s="15">
        <v>1.1144700000000001</v>
      </c>
    </row>
    <row r="134" spans="1:4">
      <c r="A134" s="12" t="s">
        <v>203</v>
      </c>
      <c r="B134" s="13">
        <v>866</v>
      </c>
      <c r="C134" s="15">
        <v>1.0074799999999999</v>
      </c>
      <c r="D134" s="15">
        <v>1.01122</v>
      </c>
    </row>
    <row r="135" spans="1:4">
      <c r="A135" s="12" t="s">
        <v>204</v>
      </c>
      <c r="B135" s="13">
        <v>357</v>
      </c>
      <c r="C135" s="15">
        <v>1.00569</v>
      </c>
      <c r="D135" s="15">
        <v>1.00854</v>
      </c>
    </row>
    <row r="136" spans="1:4">
      <c r="A136" s="12" t="s">
        <v>205</v>
      </c>
      <c r="B136" s="13">
        <v>894</v>
      </c>
      <c r="C136" s="15">
        <v>1</v>
      </c>
      <c r="D136" s="15">
        <v>1</v>
      </c>
    </row>
    <row r="137" spans="1:4">
      <c r="A137" s="12" t="s">
        <v>206</v>
      </c>
      <c r="B137" s="13">
        <v>883</v>
      </c>
      <c r="C137" s="15">
        <v>1.03854</v>
      </c>
      <c r="D137" s="15">
        <v>1.0467900000000001</v>
      </c>
    </row>
    <row r="138" spans="1:4">
      <c r="A138" s="12" t="s">
        <v>207</v>
      </c>
      <c r="B138" s="13">
        <v>880</v>
      </c>
      <c r="C138" s="15">
        <v>1</v>
      </c>
      <c r="D138" s="15">
        <v>1</v>
      </c>
    </row>
    <row r="139" spans="1:4">
      <c r="A139" s="12" t="s">
        <v>208</v>
      </c>
      <c r="B139" s="13">
        <v>211</v>
      </c>
      <c r="C139" s="15">
        <v>1.18442</v>
      </c>
      <c r="D139" s="15">
        <v>1.20963</v>
      </c>
    </row>
    <row r="140" spans="1:4">
      <c r="A140" s="12" t="s">
        <v>209</v>
      </c>
      <c r="B140" s="13">
        <v>358</v>
      </c>
      <c r="C140" s="15">
        <v>1.00569</v>
      </c>
      <c r="D140" s="15">
        <v>1.00854</v>
      </c>
    </row>
    <row r="141" spans="1:4">
      <c r="A141" s="12" t="s">
        <v>210</v>
      </c>
      <c r="B141" s="13">
        <v>384</v>
      </c>
      <c r="C141" s="15">
        <v>1.00017</v>
      </c>
      <c r="D141" s="15">
        <v>1.0002500000000001</v>
      </c>
    </row>
    <row r="142" spans="1:4">
      <c r="A142" s="12" t="s">
        <v>211</v>
      </c>
      <c r="B142" s="13">
        <v>335</v>
      </c>
      <c r="C142" s="15">
        <v>1.00352</v>
      </c>
      <c r="D142" s="15">
        <v>1.00528</v>
      </c>
    </row>
    <row r="143" spans="1:4">
      <c r="A143" s="12" t="s">
        <v>212</v>
      </c>
      <c r="B143" s="13">
        <v>320</v>
      </c>
      <c r="C143" s="15">
        <v>1.08335</v>
      </c>
      <c r="D143" s="15">
        <v>1.0889500000000001</v>
      </c>
    </row>
    <row r="144" spans="1:4">
      <c r="A144" s="12" t="s">
        <v>213</v>
      </c>
      <c r="B144" s="13">
        <v>212</v>
      </c>
      <c r="C144" s="15">
        <v>1.18442</v>
      </c>
      <c r="D144" s="15">
        <v>1.20963</v>
      </c>
    </row>
    <row r="145" spans="1:4">
      <c r="A145" s="12" t="s">
        <v>214</v>
      </c>
      <c r="B145" s="13">
        <v>877</v>
      </c>
      <c r="C145" s="15">
        <v>1.0037799999999999</v>
      </c>
      <c r="D145" s="15">
        <v>1.0056700000000001</v>
      </c>
    </row>
    <row r="146" spans="1:4">
      <c r="A146" s="12" t="s">
        <v>215</v>
      </c>
      <c r="B146" s="13">
        <v>937</v>
      </c>
      <c r="C146" s="15">
        <v>1.0073099999999999</v>
      </c>
      <c r="D146" s="15">
        <v>1.0109600000000001</v>
      </c>
    </row>
    <row r="147" spans="1:4">
      <c r="A147" s="12" t="s">
        <v>216</v>
      </c>
      <c r="B147" s="13">
        <v>869</v>
      </c>
      <c r="C147" s="15">
        <v>1.0362199999999999</v>
      </c>
      <c r="D147" s="15">
        <v>1.0543400000000001</v>
      </c>
    </row>
    <row r="148" spans="1:4">
      <c r="A148" s="12" t="s">
        <v>217</v>
      </c>
      <c r="B148" s="13">
        <v>941</v>
      </c>
      <c r="C148" s="14">
        <v>1.00342</v>
      </c>
      <c r="D148" s="14">
        <v>1.0051399999999999</v>
      </c>
    </row>
    <row r="149" spans="1:4">
      <c r="A149" s="12" t="s">
        <v>218</v>
      </c>
      <c r="B149" s="13">
        <v>938</v>
      </c>
      <c r="C149" s="15">
        <v>1.0587800000000001</v>
      </c>
      <c r="D149" s="14">
        <v>1.0121100000000001</v>
      </c>
    </row>
    <row r="150" spans="1:4">
      <c r="A150" s="12" t="s">
        <v>219</v>
      </c>
      <c r="B150" s="13">
        <v>938</v>
      </c>
      <c r="C150" s="14">
        <v>1</v>
      </c>
      <c r="D150" s="14">
        <v>1.0121100000000001</v>
      </c>
    </row>
    <row r="151" spans="1:4">
      <c r="A151" s="12" t="s">
        <v>220</v>
      </c>
      <c r="B151" s="13">
        <v>213</v>
      </c>
      <c r="C151" s="15">
        <v>1.18442</v>
      </c>
      <c r="D151" s="15">
        <v>1.20963</v>
      </c>
    </row>
    <row r="152" spans="1:4">
      <c r="A152" s="12" t="s">
        <v>221</v>
      </c>
      <c r="B152" s="13">
        <v>943</v>
      </c>
      <c r="C152" s="14">
        <v>1</v>
      </c>
      <c r="D152" s="14">
        <v>1</v>
      </c>
    </row>
    <row r="153" spans="1:4">
      <c r="A153" s="12" t="s">
        <v>222</v>
      </c>
      <c r="B153" s="13">
        <v>359</v>
      </c>
      <c r="C153" s="15">
        <v>1.00569</v>
      </c>
      <c r="D153" s="15">
        <v>1.00854</v>
      </c>
    </row>
    <row r="154" spans="1:4">
      <c r="A154" s="12" t="s">
        <v>223</v>
      </c>
      <c r="B154" s="13">
        <v>865</v>
      </c>
      <c r="C154" s="15">
        <v>1.0074799999999999</v>
      </c>
      <c r="D154" s="15">
        <v>1.01122</v>
      </c>
    </row>
    <row r="155" spans="1:4">
      <c r="A155" s="12" t="s">
        <v>224</v>
      </c>
      <c r="B155" s="13">
        <v>868</v>
      </c>
      <c r="C155" s="14">
        <v>1.0587800000000001</v>
      </c>
      <c r="D155" s="14">
        <v>1.0771500000000001</v>
      </c>
    </row>
    <row r="156" spans="1:4">
      <c r="A156" s="12" t="s">
        <v>225</v>
      </c>
      <c r="B156" s="13">
        <v>344</v>
      </c>
      <c r="C156" s="15">
        <v>1.0011699999999999</v>
      </c>
      <c r="D156" s="15">
        <v>1.0017499999999999</v>
      </c>
    </row>
    <row r="157" spans="1:4">
      <c r="A157" s="12" t="s">
        <v>226</v>
      </c>
      <c r="B157" s="13">
        <v>872</v>
      </c>
      <c r="C157" s="15">
        <v>1.0362199999999999</v>
      </c>
      <c r="D157" s="15">
        <v>1.0543400000000001</v>
      </c>
    </row>
    <row r="158" spans="1:4">
      <c r="A158" s="12" t="s">
        <v>227</v>
      </c>
      <c r="B158" s="13">
        <v>336</v>
      </c>
      <c r="C158" s="15">
        <v>1.00352</v>
      </c>
      <c r="D158" s="15">
        <v>1.00528</v>
      </c>
    </row>
    <row r="159" spans="1:4">
      <c r="A159" s="12" t="s">
        <v>228</v>
      </c>
      <c r="B159" s="13">
        <v>885</v>
      </c>
      <c r="C159" s="15">
        <v>1</v>
      </c>
      <c r="D159" s="15">
        <v>1</v>
      </c>
    </row>
    <row r="160" spans="1:4">
      <c r="A160" s="12" t="s">
        <v>229</v>
      </c>
      <c r="B160" s="13">
        <v>816</v>
      </c>
      <c r="C160" s="15">
        <v>1</v>
      </c>
      <c r="D160" s="15">
        <v>1</v>
      </c>
    </row>
  </sheetData>
  <hyperlinks>
    <hyperlink ref="A3" r:id="rId1" display="https://assets.publishing.service.gov.uk/media/674ed7ae26364a399a991a72/NFF_area_cost_adjustment_technical_note.pdf" xr:uid="{9E32929B-22B4-42C9-AB84-44C356AC66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44626C6A7E54B9B22B6D7AE0BFD41" ma:contentTypeVersion="14" ma:contentTypeDescription="Create a new document." ma:contentTypeScope="" ma:versionID="207766190042ef7fe7fa30020776b107">
  <xsd:schema xmlns:xsd="http://www.w3.org/2001/XMLSchema" xmlns:xs="http://www.w3.org/2001/XMLSchema" xmlns:p="http://schemas.microsoft.com/office/2006/metadata/properties" xmlns:ns2="2211af50-aac1-4137-9545-dda8ca29a8b3" xmlns:ns3="1266df65-690b-4b6d-8cfa-744e86cbef27" targetNamespace="http://schemas.microsoft.com/office/2006/metadata/properties" ma:root="true" ma:fieldsID="8bcaf7ccf940c40802a4d1f6478379f1" ns2:_="" ns3:_="">
    <xsd:import namespace="2211af50-aac1-4137-9545-dda8ca29a8b3"/>
    <xsd:import namespace="1266df65-690b-4b6d-8cfa-744e86cbef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1af50-aac1-4137-9545-dda8ca29a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66df65-690b-4b6d-8cfa-744e86cbef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5e7d43b-4dea-46c9-9b4d-dc2d819376de}" ma:internalName="TaxCatchAll" ma:showField="CatchAllData" ma:web="1266df65-690b-4b6d-8cfa-744e86cbe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11af50-aac1-4137-9545-dda8ca29a8b3">
      <Terms xmlns="http://schemas.microsoft.com/office/infopath/2007/PartnerControls"/>
    </lcf76f155ced4ddcb4097134ff3c332f>
    <TaxCatchAll xmlns="1266df65-690b-4b6d-8cfa-744e86cbef27" xsi:nil="true"/>
  </documentManagement>
</p:properties>
</file>

<file path=customXml/itemProps1.xml><?xml version="1.0" encoding="utf-8"?>
<ds:datastoreItem xmlns:ds="http://schemas.openxmlformats.org/officeDocument/2006/customXml" ds:itemID="{745E89D9-3BBB-4F3C-9DAC-8BB0FCD1D904}"/>
</file>

<file path=customXml/itemProps2.xml><?xml version="1.0" encoding="utf-8"?>
<ds:datastoreItem xmlns:ds="http://schemas.openxmlformats.org/officeDocument/2006/customXml" ds:itemID="{F00C723A-5A09-404B-A637-4FC9D3B8A3E5}"/>
</file>

<file path=customXml/itemProps3.xml><?xml version="1.0" encoding="utf-8"?>
<ds:datastoreItem xmlns:ds="http://schemas.openxmlformats.org/officeDocument/2006/customXml" ds:itemID="{5119ACEB-F567-4DE3-87BA-1F6BD8D7BC01}"/>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MAYER, Molly</dc:creator>
  <cp:keywords/>
  <dc:description/>
  <cp:lastModifiedBy>BUHAENKO, Alice</cp:lastModifiedBy>
  <cp:revision/>
  <dcterms:created xsi:type="dcterms:W3CDTF">2025-10-14T12:47:24Z</dcterms:created>
  <dcterms:modified xsi:type="dcterms:W3CDTF">2025-11-13T16:21:41Z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0x01010062C44626C6A7E54B9B22B6D7AE0BFD41</vt:lpwstr>
  </property>
  <property fmtid="{D5CDD505-2E9C-101B-9397-08002B2CF9AE}" pid="3" name="MediaServiceImageTags">
    <vt:lpwstr/>
  </property>
</Properties>
</file>